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30" windowWidth="12120" windowHeight="8160" activeTab="1"/>
  </bookViews>
  <sheets>
    <sheet name="COVER" sheetId="27" r:id="rId1"/>
    <sheet name="OPEX" sheetId="8" r:id="rId2"/>
    <sheet name="Draft 2010-2011 Budget" sheetId="28" r:id="rId3"/>
    <sheet name="CAPEX - TECH" sheetId="26" r:id="rId4"/>
    <sheet name="CAPEX" sheetId="13" r:id="rId5"/>
    <sheet name="TARIF CHARGES" sheetId="22" r:id="rId6"/>
  </sheets>
  <externalReferences>
    <externalReference r:id="rId7"/>
  </externalReferences>
  <definedNames>
    <definedName name="OLE_LINK1" localSheetId="5">'TARIF CHARGES'!$A$1</definedName>
    <definedName name="_xlnm.Print_Area" localSheetId="4">CAPEX!$A$1:$J$71</definedName>
    <definedName name="_xlnm.Print_Area" localSheetId="3">'CAPEX - TECH'!$A$1:$K$108</definedName>
    <definedName name="_xlnm.Print_Area" localSheetId="1">OPEX!$A$1:$I$1069</definedName>
  </definedNames>
  <calcPr calcId="125725"/>
</workbook>
</file>

<file path=xl/calcChain.xml><?xml version="1.0" encoding="utf-8"?>
<calcChain xmlns="http://schemas.openxmlformats.org/spreadsheetml/2006/main">
  <c r="D172" i="22"/>
  <c r="D171"/>
  <c r="D170"/>
  <c r="D169"/>
  <c r="D168"/>
  <c r="D167"/>
  <c r="D164"/>
  <c r="D163"/>
  <c r="D162"/>
  <c r="D161"/>
  <c r="D160"/>
  <c r="D159"/>
  <c r="D158"/>
  <c r="D157"/>
  <c r="D156"/>
  <c r="D155"/>
  <c r="D154"/>
  <c r="D153"/>
  <c r="D152"/>
  <c r="D151"/>
  <c r="D150"/>
  <c r="D147"/>
  <c r="D146"/>
  <c r="D145"/>
  <c r="D144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7"/>
  <c r="D106"/>
  <c r="D105"/>
  <c r="D104"/>
  <c r="D103"/>
  <c r="D102"/>
  <c r="D100"/>
  <c r="D99"/>
  <c r="D98"/>
  <c r="D97"/>
  <c r="D96"/>
  <c r="D95"/>
  <c r="D94"/>
  <c r="D93"/>
  <c r="D92"/>
  <c r="D91"/>
  <c r="D90"/>
  <c r="D89"/>
  <c r="D88"/>
  <c r="D87"/>
  <c r="D81"/>
  <c r="D80"/>
  <c r="D79"/>
  <c r="D78"/>
  <c r="D77"/>
  <c r="D76"/>
  <c r="D75"/>
  <c r="D74"/>
  <c r="D73"/>
  <c r="D72"/>
  <c r="D71"/>
  <c r="D70"/>
  <c r="D69"/>
  <c r="D64"/>
  <c r="D63"/>
  <c r="D62"/>
  <c r="D61"/>
  <c r="D60"/>
  <c r="D59"/>
  <c r="D58"/>
  <c r="D57"/>
  <c r="D53"/>
  <c r="D52"/>
  <c r="D51"/>
  <c r="D50"/>
  <c r="D49"/>
  <c r="D48"/>
  <c r="D47"/>
  <c r="D44"/>
  <c r="D43"/>
  <c r="D42"/>
  <c r="D41"/>
  <c r="D38"/>
  <c r="D37"/>
  <c r="D36"/>
  <c r="D33"/>
  <c r="D32"/>
  <c r="D31"/>
  <c r="D30"/>
  <c r="D29"/>
  <c r="D28"/>
  <c r="D27"/>
  <c r="D26"/>
  <c r="G124" i="8" l="1"/>
  <c r="G127" s="1"/>
  <c r="G896"/>
  <c r="G125"/>
  <c r="G196"/>
  <c r="J32" i="28"/>
  <c r="F32"/>
  <c r="E32"/>
  <c r="D32"/>
  <c r="C32"/>
  <c r="J33"/>
  <c r="F33"/>
  <c r="E33"/>
  <c r="D33"/>
  <c r="C33"/>
  <c r="J31"/>
  <c r="F31"/>
  <c r="E31"/>
  <c r="D31"/>
  <c r="J30"/>
  <c r="F30"/>
  <c r="F34" s="1"/>
  <c r="E30"/>
  <c r="E34" s="1"/>
  <c r="J27"/>
  <c r="F27"/>
  <c r="E27"/>
  <c r="D27"/>
  <c r="C27"/>
  <c r="J26"/>
  <c r="F26"/>
  <c r="E26"/>
  <c r="D26"/>
  <c r="C26"/>
  <c r="J25"/>
  <c r="F25"/>
  <c r="E25"/>
  <c r="D25"/>
  <c r="C25"/>
  <c r="J24"/>
  <c r="F24"/>
  <c r="E24"/>
  <c r="D24"/>
  <c r="J23"/>
  <c r="F23"/>
  <c r="E23"/>
  <c r="D23"/>
  <c r="J22"/>
  <c r="F22"/>
  <c r="E22"/>
  <c r="D22"/>
  <c r="J21"/>
  <c r="F21"/>
  <c r="E21"/>
  <c r="D21"/>
  <c r="C21"/>
  <c r="J20"/>
  <c r="F20"/>
  <c r="E20"/>
  <c r="D20"/>
  <c r="C20"/>
  <c r="J19"/>
  <c r="F19"/>
  <c r="E19"/>
  <c r="D19"/>
  <c r="J18"/>
  <c r="F18"/>
  <c r="E18"/>
  <c r="D18"/>
  <c r="J17"/>
  <c r="F17"/>
  <c r="E17"/>
  <c r="D17"/>
  <c r="J16"/>
  <c r="F16"/>
  <c r="E16"/>
  <c r="D16"/>
  <c r="J15"/>
  <c r="F15"/>
  <c r="E15"/>
  <c r="D15"/>
  <c r="J14"/>
  <c r="F14"/>
  <c r="E14"/>
  <c r="D14"/>
  <c r="J13"/>
  <c r="F13"/>
  <c r="E13"/>
  <c r="D13"/>
  <c r="J12"/>
  <c r="F12"/>
  <c r="E12"/>
  <c r="D12"/>
  <c r="J11"/>
  <c r="F11"/>
  <c r="E11"/>
  <c r="D11"/>
  <c r="F10"/>
  <c r="E10"/>
  <c r="D10"/>
  <c r="J9"/>
  <c r="F9"/>
  <c r="E9"/>
  <c r="D9"/>
  <c r="J8"/>
  <c r="F8"/>
  <c r="E8"/>
  <c r="D8"/>
  <c r="H56"/>
  <c r="C56"/>
  <c r="H55"/>
  <c r="H54"/>
  <c r="K53"/>
  <c r="H52"/>
  <c r="H51"/>
  <c r="H50"/>
  <c r="H49"/>
  <c r="H48"/>
  <c r="F48"/>
  <c r="H47"/>
  <c r="H46"/>
  <c r="E46"/>
  <c r="H45"/>
  <c r="H44"/>
  <c r="H43"/>
  <c r="H57" s="1"/>
  <c r="H34"/>
  <c r="H36" s="1"/>
  <c r="J49"/>
  <c r="F49"/>
  <c r="E49"/>
  <c r="D49"/>
  <c r="C49"/>
  <c r="J52"/>
  <c r="F52"/>
  <c r="E52"/>
  <c r="D52"/>
  <c r="C52"/>
  <c r="J34"/>
  <c r="E54"/>
  <c r="H28"/>
  <c r="E56"/>
  <c r="D56"/>
  <c r="J56"/>
  <c r="G26"/>
  <c r="G25"/>
  <c r="I25" s="1"/>
  <c r="K25" s="1"/>
  <c r="J48"/>
  <c r="E48"/>
  <c r="D48"/>
  <c r="E50"/>
  <c r="J55"/>
  <c r="F55"/>
  <c r="E55"/>
  <c r="D55"/>
  <c r="J50"/>
  <c r="F50"/>
  <c r="D50"/>
  <c r="G20"/>
  <c r="I20" s="1"/>
  <c r="K20" s="1"/>
  <c r="J46"/>
  <c r="F46"/>
  <c r="F47"/>
  <c r="J47"/>
  <c r="E47"/>
  <c r="D47"/>
  <c r="J51"/>
  <c r="F51"/>
  <c r="E51"/>
  <c r="D51"/>
  <c r="J45"/>
  <c r="F45"/>
  <c r="E45"/>
  <c r="D45"/>
  <c r="F44"/>
  <c r="E44"/>
  <c r="D44"/>
  <c r="J43"/>
  <c r="F43"/>
  <c r="E43"/>
  <c r="D43"/>
  <c r="D46" l="1"/>
  <c r="I26"/>
  <c r="E57"/>
  <c r="G21"/>
  <c r="G27"/>
  <c r="I27" s="1"/>
  <c r="K27" s="1"/>
  <c r="E28"/>
  <c r="G32"/>
  <c r="G33"/>
  <c r="E36"/>
  <c r="F54"/>
  <c r="J54"/>
  <c r="F56"/>
  <c r="D28"/>
  <c r="F28"/>
  <c r="F36" s="1"/>
  <c r="F57" l="1"/>
  <c r="I33"/>
  <c r="G49"/>
  <c r="I21"/>
  <c r="G56"/>
  <c r="G52"/>
  <c r="I32"/>
  <c r="I56"/>
  <c r="K26"/>
  <c r="K56" s="1"/>
  <c r="I52" l="1"/>
  <c r="K52" s="1"/>
  <c r="K32"/>
  <c r="K33"/>
  <c r="I49"/>
  <c r="K49" s="1"/>
  <c r="K21"/>
  <c r="J10" l="1"/>
  <c r="G169" i="8"/>
  <c r="I271"/>
  <c r="H271"/>
  <c r="G271"/>
  <c r="J44" i="28" l="1"/>
  <c r="J28"/>
  <c r="J36" s="1"/>
  <c r="G678" i="8"/>
  <c r="G644"/>
  <c r="G503"/>
  <c r="G502"/>
  <c r="G520"/>
  <c r="H678"/>
  <c r="G253"/>
  <c r="E253"/>
  <c r="F103" i="26"/>
  <c r="D271" i="8"/>
  <c r="F105" i="26"/>
  <c r="G10" i="8"/>
  <c r="G1054"/>
  <c r="G68"/>
  <c r="H10"/>
  <c r="G719"/>
  <c r="I681"/>
  <c r="H681"/>
  <c r="G681"/>
  <c r="F681"/>
  <c r="E681"/>
  <c r="D681"/>
  <c r="G473"/>
  <c r="G468"/>
  <c r="G344"/>
  <c r="G343"/>
  <c r="I265"/>
  <c r="G195"/>
  <c r="G547"/>
  <c r="G411"/>
  <c r="K97" i="26"/>
  <c r="D48" i="8"/>
  <c r="G364"/>
  <c r="J57" i="28" l="1"/>
  <c r="G917" i="8"/>
  <c r="G1004"/>
  <c r="G716"/>
  <c r="G662"/>
  <c r="G31"/>
  <c r="G873"/>
  <c r="G874"/>
  <c r="G984"/>
  <c r="G1048"/>
  <c r="G904"/>
  <c r="G903"/>
  <c r="G889"/>
  <c r="F784"/>
  <c r="D780"/>
  <c r="G720"/>
  <c r="F102" i="26" l="1"/>
  <c r="J55" i="13" l="1"/>
  <c r="I55"/>
  <c r="H55"/>
  <c r="G55"/>
  <c r="F55"/>
  <c r="E55"/>
  <c r="D55"/>
  <c r="C55"/>
  <c r="J48"/>
  <c r="I48"/>
  <c r="H48"/>
  <c r="G48"/>
  <c r="F48"/>
  <c r="E48"/>
  <c r="D48"/>
  <c r="C48"/>
  <c r="I41"/>
  <c r="J41" s="1"/>
  <c r="E41"/>
  <c r="I40"/>
  <c r="J40" s="1"/>
  <c r="E40"/>
  <c r="E42" s="1"/>
  <c r="H42"/>
  <c r="G42"/>
  <c r="F42"/>
  <c r="D42"/>
  <c r="C42"/>
  <c r="I34"/>
  <c r="H34"/>
  <c r="G34"/>
  <c r="F34"/>
  <c r="E34"/>
  <c r="D34"/>
  <c r="C34"/>
  <c r="J26"/>
  <c r="I26"/>
  <c r="H26"/>
  <c r="G26"/>
  <c r="F26"/>
  <c r="E26"/>
  <c r="D26"/>
  <c r="C26"/>
  <c r="H19"/>
  <c r="G19"/>
  <c r="F19"/>
  <c r="D19"/>
  <c r="C19"/>
  <c r="I11"/>
  <c r="G11"/>
  <c r="F11"/>
  <c r="D11"/>
  <c r="C11"/>
  <c r="F60"/>
  <c r="J95" i="26"/>
  <c r="I95"/>
  <c r="H95"/>
  <c r="G95"/>
  <c r="F95"/>
  <c r="F100" s="1"/>
  <c r="E95"/>
  <c r="D95"/>
  <c r="C95"/>
  <c r="J87"/>
  <c r="I87"/>
  <c r="H87"/>
  <c r="G87"/>
  <c r="F87"/>
  <c r="F106" s="1"/>
  <c r="D87"/>
  <c r="C87"/>
  <c r="J81"/>
  <c r="I81"/>
  <c r="H81"/>
  <c r="G81"/>
  <c r="F81"/>
  <c r="D81"/>
  <c r="C81"/>
  <c r="J76"/>
  <c r="I76"/>
  <c r="H76"/>
  <c r="G76"/>
  <c r="F76"/>
  <c r="D76"/>
  <c r="C76"/>
  <c r="J66"/>
  <c r="I66"/>
  <c r="H66"/>
  <c r="G66"/>
  <c r="F66"/>
  <c r="D66"/>
  <c r="C66"/>
  <c r="J68" i="13"/>
  <c r="J60"/>
  <c r="J31"/>
  <c r="I18"/>
  <c r="J18" s="1"/>
  <c r="I17"/>
  <c r="J17" s="1"/>
  <c r="J9"/>
  <c r="J8"/>
  <c r="E86" i="26"/>
  <c r="E85"/>
  <c r="E75"/>
  <c r="E72"/>
  <c r="E65"/>
  <c r="E62"/>
  <c r="I55"/>
  <c r="H55"/>
  <c r="G55"/>
  <c r="F55"/>
  <c r="D55"/>
  <c r="C55"/>
  <c r="E54"/>
  <c r="E55" s="1"/>
  <c r="I39"/>
  <c r="H39"/>
  <c r="G39"/>
  <c r="F39"/>
  <c r="D39"/>
  <c r="C39"/>
  <c r="E37"/>
  <c r="E39" s="1"/>
  <c r="I29"/>
  <c r="H29"/>
  <c r="G29"/>
  <c r="F29"/>
  <c r="D29"/>
  <c r="C29"/>
  <c r="E25"/>
  <c r="E24"/>
  <c r="I20"/>
  <c r="H20"/>
  <c r="G20"/>
  <c r="F20"/>
  <c r="E20"/>
  <c r="D20"/>
  <c r="C20"/>
  <c r="F13"/>
  <c r="F101" l="1"/>
  <c r="E87"/>
  <c r="E66"/>
  <c r="E76"/>
  <c r="E81"/>
  <c r="J11" i="13"/>
  <c r="J19"/>
  <c r="J34"/>
  <c r="J42"/>
  <c r="J70" s="1"/>
  <c r="J97" i="26" s="1"/>
  <c r="I42" i="13"/>
  <c r="I19"/>
  <c r="E29" i="26"/>
  <c r="D245" i="8"/>
  <c r="H779"/>
  <c r="I779" s="1"/>
  <c r="E779"/>
  <c r="D104"/>
  <c r="F630"/>
  <c r="D630"/>
  <c r="H629"/>
  <c r="H630" s="1"/>
  <c r="A104"/>
  <c r="H557"/>
  <c r="I629" l="1"/>
  <c r="I630" s="1"/>
  <c r="G1060" l="1"/>
  <c r="H1060" s="1"/>
  <c r="I1060" s="1"/>
  <c r="H1058"/>
  <c r="H1051"/>
  <c r="I1051" s="1"/>
  <c r="H1048"/>
  <c r="I1048" s="1"/>
  <c r="H1013"/>
  <c r="I1010"/>
  <c r="H1010"/>
  <c r="G1010"/>
  <c r="G1000"/>
  <c r="H1003"/>
  <c r="I1003" s="1"/>
  <c r="H1002"/>
  <c r="I1002" s="1"/>
  <c r="G996"/>
  <c r="G995"/>
  <c r="G994"/>
  <c r="G993"/>
  <c r="H993" s="1"/>
  <c r="I993" s="1"/>
  <c r="G992"/>
  <c r="G991"/>
  <c r="G990"/>
  <c r="G989"/>
  <c r="G988"/>
  <c r="H984"/>
  <c r="G983"/>
  <c r="G965"/>
  <c r="G964"/>
  <c r="G963"/>
  <c r="G962"/>
  <c r="G961"/>
  <c r="G955"/>
  <c r="H955" s="1"/>
  <c r="I955" s="1"/>
  <c r="G924"/>
  <c r="G920"/>
  <c r="H910"/>
  <c r="I910" s="1"/>
  <c r="G876"/>
  <c r="H876" s="1"/>
  <c r="I876" s="1"/>
  <c r="G875"/>
  <c r="H875" s="1"/>
  <c r="I875" s="1"/>
  <c r="G871"/>
  <c r="G858"/>
  <c r="I856"/>
  <c r="H856"/>
  <c r="G852"/>
  <c r="G851"/>
  <c r="G850"/>
  <c r="G847"/>
  <c r="G846"/>
  <c r="G845"/>
  <c r="G827"/>
  <c r="G776"/>
  <c r="H776" s="1"/>
  <c r="I776" s="1"/>
  <c r="G774"/>
  <c r="H774" s="1"/>
  <c r="I774" s="1"/>
  <c r="G771"/>
  <c r="H771" s="1"/>
  <c r="I771" s="1"/>
  <c r="G770"/>
  <c r="G738"/>
  <c r="H738" s="1"/>
  <c r="I738" s="1"/>
  <c r="H737"/>
  <c r="I737" s="1"/>
  <c r="H732"/>
  <c r="I732" s="1"/>
  <c r="H729"/>
  <c r="I729" s="1"/>
  <c r="G728"/>
  <c r="H728" s="1"/>
  <c r="I728" s="1"/>
  <c r="H727"/>
  <c r="I727" s="1"/>
  <c r="G725"/>
  <c r="H725" s="1"/>
  <c r="I725" s="1"/>
  <c r="G721"/>
  <c r="H721" s="1"/>
  <c r="I721" s="1"/>
  <c r="H720"/>
  <c r="I720" s="1"/>
  <c r="H719"/>
  <c r="I719" s="1"/>
  <c r="G718"/>
  <c r="H718" s="1"/>
  <c r="I718" s="1"/>
  <c r="H716"/>
  <c r="I716" s="1"/>
  <c r="G715"/>
  <c r="H715" s="1"/>
  <c r="I715" s="1"/>
  <c r="G714"/>
  <c r="H714" s="1"/>
  <c r="H698"/>
  <c r="H697"/>
  <c r="G684"/>
  <c r="H684" s="1"/>
  <c r="H680"/>
  <c r="I680" s="1"/>
  <c r="G679"/>
  <c r="H679" s="1"/>
  <c r="I679" s="1"/>
  <c r="G677"/>
  <c r="H677" s="1"/>
  <c r="I677" s="1"/>
  <c r="G676"/>
  <c r="H676" s="1"/>
  <c r="I676" s="1"/>
  <c r="G675"/>
  <c r="H675" s="1"/>
  <c r="H672"/>
  <c r="I672" s="1"/>
  <c r="G667"/>
  <c r="H667" s="1"/>
  <c r="I667" s="1"/>
  <c r="G666"/>
  <c r="H666" s="1"/>
  <c r="I666" s="1"/>
  <c r="G663"/>
  <c r="H663" s="1"/>
  <c r="I663" s="1"/>
  <c r="G660"/>
  <c r="H660" s="1"/>
  <c r="I660" s="1"/>
  <c r="H659"/>
  <c r="I659" s="1"/>
  <c r="H658"/>
  <c r="G652"/>
  <c r="H652" s="1"/>
  <c r="I652" s="1"/>
  <c r="G607"/>
  <c r="H607" s="1"/>
  <c r="I607" s="1"/>
  <c r="G606"/>
  <c r="I606" s="1"/>
  <c r="H570"/>
  <c r="I570" s="1"/>
  <c r="G548"/>
  <c r="G529"/>
  <c r="H528"/>
  <c r="I528" s="1"/>
  <c r="G524"/>
  <c r="H524" s="1"/>
  <c r="I524" s="1"/>
  <c r="G518"/>
  <c r="G516"/>
  <c r="H502"/>
  <c r="G489"/>
  <c r="G486"/>
  <c r="H486" s="1"/>
  <c r="I486" s="1"/>
  <c r="G481"/>
  <c r="H477"/>
  <c r="I477" s="1"/>
  <c r="G475"/>
  <c r="H475" s="1"/>
  <c r="I475" s="1"/>
  <c r="H472"/>
  <c r="I472" s="1"/>
  <c r="G471"/>
  <c r="G466"/>
  <c r="G450"/>
  <c r="G435"/>
  <c r="G431"/>
  <c r="G430"/>
  <c r="G429"/>
  <c r="H429" s="1"/>
  <c r="I429" s="1"/>
  <c r="G428"/>
  <c r="G426"/>
  <c r="G425"/>
  <c r="H425" s="1"/>
  <c r="G398"/>
  <c r="I395"/>
  <c r="H395"/>
  <c r="G387"/>
  <c r="H387" s="1"/>
  <c r="I387" s="1"/>
  <c r="H383"/>
  <c r="I383" s="1"/>
  <c r="G374"/>
  <c r="H374" s="1"/>
  <c r="I374" s="1"/>
  <c r="I366"/>
  <c r="H366"/>
  <c r="G366"/>
  <c r="G353"/>
  <c r="H350"/>
  <c r="H351" s="1"/>
  <c r="H346"/>
  <c r="I346" s="1"/>
  <c r="H343"/>
  <c r="I343" s="1"/>
  <c r="G342"/>
  <c r="H342" s="1"/>
  <c r="I342" s="1"/>
  <c r="G340"/>
  <c r="G339"/>
  <c r="G334"/>
  <c r="I313"/>
  <c r="H313"/>
  <c r="G313"/>
  <c r="G309"/>
  <c r="G308"/>
  <c r="H308" s="1"/>
  <c r="I308" s="1"/>
  <c r="G307"/>
  <c r="H307" s="1"/>
  <c r="I307" s="1"/>
  <c r="G305"/>
  <c r="G296"/>
  <c r="I292"/>
  <c r="H292"/>
  <c r="G292"/>
  <c r="G279"/>
  <c r="G269"/>
  <c r="G267"/>
  <c r="H266"/>
  <c r="I266" s="1"/>
  <c r="G263"/>
  <c r="G262"/>
  <c r="G261"/>
  <c r="G260"/>
  <c r="G259"/>
  <c r="G254"/>
  <c r="G251"/>
  <c r="H251" s="1"/>
  <c r="I251" s="1"/>
  <c r="G250"/>
  <c r="I233"/>
  <c r="H233"/>
  <c r="G233"/>
  <c r="H770" l="1"/>
  <c r="H845"/>
  <c r="H847"/>
  <c r="I847" s="1"/>
  <c r="H850"/>
  <c r="I850" s="1"/>
  <c r="H852"/>
  <c r="I852" s="1"/>
  <c r="H924"/>
  <c r="I924" s="1"/>
  <c r="H827"/>
  <c r="H846"/>
  <c r="I846" s="1"/>
  <c r="H848"/>
  <c r="I848" s="1"/>
  <c r="H851"/>
  <c r="I851" s="1"/>
  <c r="H920"/>
  <c r="H259"/>
  <c r="I259" s="1"/>
  <c r="H263"/>
  <c r="I263" s="1"/>
  <c r="H250"/>
  <c r="I250" s="1"/>
  <c r="H254"/>
  <c r="I254" s="1"/>
  <c r="H260"/>
  <c r="I260" s="1"/>
  <c r="H262"/>
  <c r="I262" s="1"/>
  <c r="H264"/>
  <c r="I264" s="1"/>
  <c r="H267"/>
  <c r="I267" s="1"/>
  <c r="H273"/>
  <c r="H275"/>
  <c r="I275" s="1"/>
  <c r="H309"/>
  <c r="I309" s="1"/>
  <c r="H334"/>
  <c r="I334" s="1"/>
  <c r="H340"/>
  <c r="I340" s="1"/>
  <c r="H345"/>
  <c r="I345" s="1"/>
  <c r="H398"/>
  <c r="H428"/>
  <c r="I428" s="1"/>
  <c r="H430"/>
  <c r="I430" s="1"/>
  <c r="H466"/>
  <c r="I466" s="1"/>
  <c r="H468"/>
  <c r="I468" s="1"/>
  <c r="H471"/>
  <c r="I471" s="1"/>
  <c r="H473"/>
  <c r="I473" s="1"/>
  <c r="H481"/>
  <c r="I481" s="1"/>
  <c r="H489"/>
  <c r="H516"/>
  <c r="H518"/>
  <c r="I518" s="1"/>
  <c r="H530"/>
  <c r="I530" s="1"/>
  <c r="H548"/>
  <c r="I548" s="1"/>
  <c r="H871"/>
  <c r="I871" s="1"/>
  <c r="H874"/>
  <c r="I874" s="1"/>
  <c r="H894"/>
  <c r="H961"/>
  <c r="H963"/>
  <c r="I963" s="1"/>
  <c r="H965"/>
  <c r="I965" s="1"/>
  <c r="I984"/>
  <c r="H989"/>
  <c r="I989" s="1"/>
  <c r="H991"/>
  <c r="I991" s="1"/>
  <c r="H995"/>
  <c r="I995" s="1"/>
  <c r="H1004"/>
  <c r="I1004" s="1"/>
  <c r="H1001"/>
  <c r="I1001" s="1"/>
  <c r="H1005"/>
  <c r="I1005" s="1"/>
  <c r="H261"/>
  <c r="I261" s="1"/>
  <c r="H269"/>
  <c r="I269" s="1"/>
  <c r="H274"/>
  <c r="I274" s="1"/>
  <c r="H279"/>
  <c r="H296"/>
  <c r="I296" s="1"/>
  <c r="H305"/>
  <c r="I305" s="1"/>
  <c r="H339"/>
  <c r="I339" s="1"/>
  <c r="H344"/>
  <c r="I344" s="1"/>
  <c r="H353"/>
  <c r="H411"/>
  <c r="I411" s="1"/>
  <c r="H426"/>
  <c r="I426" s="1"/>
  <c r="H431"/>
  <c r="I431" s="1"/>
  <c r="H450"/>
  <c r="I450" s="1"/>
  <c r="H469"/>
  <c r="I469" s="1"/>
  <c r="H480"/>
  <c r="I480" s="1"/>
  <c r="H522"/>
  <c r="I522" s="1"/>
  <c r="H529"/>
  <c r="I529" s="1"/>
  <c r="H547"/>
  <c r="H604"/>
  <c r="I604" s="1"/>
  <c r="H873"/>
  <c r="I873" s="1"/>
  <c r="H962"/>
  <c r="I962" s="1"/>
  <c r="H964"/>
  <c r="I964" s="1"/>
  <c r="H988"/>
  <c r="I988" s="1"/>
  <c r="H990"/>
  <c r="I990" s="1"/>
  <c r="H992"/>
  <c r="I992" s="1"/>
  <c r="H994"/>
  <c r="I994" s="1"/>
  <c r="H996"/>
  <c r="I996" s="1"/>
  <c r="H1000"/>
  <c r="I1058"/>
  <c r="G985"/>
  <c r="I845"/>
  <c r="I894"/>
  <c r="I827"/>
  <c r="I828" s="1"/>
  <c r="H828"/>
  <c r="I920"/>
  <c r="I922" s="1"/>
  <c r="H922"/>
  <c r="H966"/>
  <c r="H858"/>
  <c r="I770"/>
  <c r="I961"/>
  <c r="H983"/>
  <c r="I1000"/>
  <c r="I547"/>
  <c r="I658"/>
  <c r="I675"/>
  <c r="I714"/>
  <c r="I531"/>
  <c r="I740"/>
  <c r="H531"/>
  <c r="H740"/>
  <c r="I684"/>
  <c r="I516"/>
  <c r="I273"/>
  <c r="I276" s="1"/>
  <c r="H276"/>
  <c r="I398"/>
  <c r="I399" s="1"/>
  <c r="H399"/>
  <c r="I425"/>
  <c r="I279"/>
  <c r="I353"/>
  <c r="I354" s="1"/>
  <c r="H354"/>
  <c r="I489"/>
  <c r="I350"/>
  <c r="I351" s="1"/>
  <c r="H216"/>
  <c r="I216" s="1"/>
  <c r="H215"/>
  <c r="I215" s="1"/>
  <c r="G203"/>
  <c r="G202"/>
  <c r="H195"/>
  <c r="I195" s="1"/>
  <c r="G194"/>
  <c r="G190"/>
  <c r="G189"/>
  <c r="H189" s="1"/>
  <c r="I189" s="1"/>
  <c r="G188"/>
  <c r="G187"/>
  <c r="G176"/>
  <c r="G167"/>
  <c r="H167" s="1"/>
  <c r="I167" s="1"/>
  <c r="G158"/>
  <c r="G155"/>
  <c r="G154"/>
  <c r="G142"/>
  <c r="G141"/>
  <c r="G121"/>
  <c r="G96"/>
  <c r="G95"/>
  <c r="H74"/>
  <c r="I74" s="1"/>
  <c r="H73"/>
  <c r="I73" s="1"/>
  <c r="H72"/>
  <c r="I72" s="1"/>
  <c r="H71"/>
  <c r="I71" s="1"/>
  <c r="G70"/>
  <c r="H70" s="1"/>
  <c r="I70" s="1"/>
  <c r="H51"/>
  <c r="I51" s="1"/>
  <c r="H46"/>
  <c r="I46" s="1"/>
  <c r="H43"/>
  <c r="I43" s="1"/>
  <c r="H39"/>
  <c r="I39" s="1"/>
  <c r="H37"/>
  <c r="I37" s="1"/>
  <c r="H33"/>
  <c r="G8"/>
  <c r="I966" l="1"/>
  <c r="I997"/>
  <c r="H997"/>
  <c r="H258"/>
  <c r="I258" s="1"/>
  <c r="H154"/>
  <c r="I154" s="1"/>
  <c r="H158"/>
  <c r="I158" s="1"/>
  <c r="H171"/>
  <c r="I171" s="1"/>
  <c r="H187"/>
  <c r="H194"/>
  <c r="I194" s="1"/>
  <c r="H202"/>
  <c r="I202" s="1"/>
  <c r="H155"/>
  <c r="I155" s="1"/>
  <c r="H176"/>
  <c r="H188"/>
  <c r="I188" s="1"/>
  <c r="H190"/>
  <c r="I190" s="1"/>
  <c r="H203"/>
  <c r="I203" s="1"/>
  <c r="I33"/>
  <c r="H69"/>
  <c r="I69" s="1"/>
  <c r="H95"/>
  <c r="I95" s="1"/>
  <c r="H121"/>
  <c r="I121" s="1"/>
  <c r="H142"/>
  <c r="I142" s="1"/>
  <c r="I10"/>
  <c r="H93"/>
  <c r="I93" s="1"/>
  <c r="H96"/>
  <c r="I96" s="1"/>
  <c r="H141"/>
  <c r="I141" s="1"/>
  <c r="H985"/>
  <c r="I983"/>
  <c r="I985" s="1"/>
  <c r="I858"/>
  <c r="G13"/>
  <c r="H8"/>
  <c r="I187"/>
  <c r="I176"/>
  <c r="H13" l="1"/>
  <c r="H45"/>
  <c r="I45" s="1"/>
  <c r="H41"/>
  <c r="I8"/>
  <c r="G106"/>
  <c r="G102"/>
  <c r="G933"/>
  <c r="G932"/>
  <c r="G930"/>
  <c r="F922"/>
  <c r="G922"/>
  <c r="G914"/>
  <c r="H904"/>
  <c r="I904" s="1"/>
  <c r="G856"/>
  <c r="G828"/>
  <c r="G219"/>
  <c r="G56"/>
  <c r="G42"/>
  <c r="H40"/>
  <c r="I40" s="1"/>
  <c r="G38"/>
  <c r="G23"/>
  <c r="G20"/>
  <c r="G19"/>
  <c r="G784"/>
  <c r="G632"/>
  <c r="G576"/>
  <c r="G399"/>
  <c r="G395"/>
  <c r="G354"/>
  <c r="G351"/>
  <c r="G315"/>
  <c r="I41" l="1"/>
  <c r="G630"/>
  <c r="H916"/>
  <c r="I916" s="1"/>
  <c r="H914"/>
  <c r="H917"/>
  <c r="I917" s="1"/>
  <c r="H253"/>
  <c r="H782"/>
  <c r="H903"/>
  <c r="I903" s="1"/>
  <c r="H930"/>
  <c r="I930" s="1"/>
  <c r="H933"/>
  <c r="I933" s="1"/>
  <c r="H999"/>
  <c r="I999" s="1"/>
  <c r="I1006" s="1"/>
  <c r="H928"/>
  <c r="I928" s="1"/>
  <c r="H932"/>
  <c r="I932" s="1"/>
  <c r="H219"/>
  <c r="I219" s="1"/>
  <c r="H38"/>
  <c r="I38" s="1"/>
  <c r="H42"/>
  <c r="I42" s="1"/>
  <c r="I13"/>
  <c r="H31"/>
  <c r="I31" s="1"/>
  <c r="H56"/>
  <c r="I56" s="1"/>
  <c r="I57" s="1"/>
  <c r="H106"/>
  <c r="I106" s="1"/>
  <c r="I107" s="1"/>
  <c r="I914"/>
  <c r="H1006"/>
  <c r="H1016" s="1"/>
  <c r="H1017" s="1"/>
  <c r="I782"/>
  <c r="G805"/>
  <c r="G807" s="1"/>
  <c r="H804"/>
  <c r="H969"/>
  <c r="H576"/>
  <c r="G633"/>
  <c r="H632"/>
  <c r="H315"/>
  <c r="H107"/>
  <c r="H57"/>
  <c r="G276"/>
  <c r="G531"/>
  <c r="G740"/>
  <c r="G997"/>
  <c r="G966"/>
  <c r="G1006"/>
  <c r="G316"/>
  <c r="I253" l="1"/>
  <c r="I969"/>
  <c r="H805"/>
  <c r="H807" s="1"/>
  <c r="I804"/>
  <c r="I805" s="1"/>
  <c r="I807" s="1"/>
  <c r="I632"/>
  <c r="I633" s="1"/>
  <c r="I635" s="1"/>
  <c r="H633"/>
  <c r="H635" s="1"/>
  <c r="I576"/>
  <c r="G635"/>
  <c r="H316"/>
  <c r="I315"/>
  <c r="I316" s="1"/>
  <c r="G107"/>
  <c r="G57"/>
  <c r="E97"/>
  <c r="E969"/>
  <c r="E215"/>
  <c r="E165"/>
  <c r="G165" s="1"/>
  <c r="E156"/>
  <c r="G156" s="1"/>
  <c r="E627"/>
  <c r="D217"/>
  <c r="F900"/>
  <c r="B1068"/>
  <c r="E1064"/>
  <c r="D1061"/>
  <c r="E1060"/>
  <c r="A1059"/>
  <c r="A1061" s="1"/>
  <c r="E1058"/>
  <c r="F1055"/>
  <c r="D1055"/>
  <c r="E1054"/>
  <c r="E1053"/>
  <c r="G1053" s="1"/>
  <c r="A1053"/>
  <c r="E1052"/>
  <c r="G1052" s="1"/>
  <c r="E1051"/>
  <c r="E1050"/>
  <c r="G1050" s="1"/>
  <c r="E1049"/>
  <c r="G1049" s="1"/>
  <c r="E1047"/>
  <c r="G1047" s="1"/>
  <c r="E1046"/>
  <c r="G1046" s="1"/>
  <c r="A1046"/>
  <c r="E1045"/>
  <c r="D1043"/>
  <c r="F1042"/>
  <c r="E1042"/>
  <c r="G1042" s="1"/>
  <c r="F1041"/>
  <c r="E1041"/>
  <c r="G1041" s="1"/>
  <c r="F1040"/>
  <c r="E1040"/>
  <c r="G1040" s="1"/>
  <c r="F1039"/>
  <c r="H1039" s="1"/>
  <c r="I1039" s="1"/>
  <c r="E1039"/>
  <c r="E1038"/>
  <c r="G1038" s="1"/>
  <c r="A1038"/>
  <c r="F1037"/>
  <c r="E1037"/>
  <c r="G1037" s="1"/>
  <c r="F1036"/>
  <c r="E1036"/>
  <c r="G1036" s="1"/>
  <c r="A1036"/>
  <c r="F1035"/>
  <c r="E1035"/>
  <c r="G1035" s="1"/>
  <c r="F1034"/>
  <c r="E1034"/>
  <c r="G1034" s="1"/>
  <c r="D1031"/>
  <c r="A1031"/>
  <c r="F1028"/>
  <c r="G1028" s="1"/>
  <c r="F1027"/>
  <c r="G1027" s="1"/>
  <c r="F1026"/>
  <c r="C1022"/>
  <c r="C1021"/>
  <c r="B1017"/>
  <c r="E1013"/>
  <c r="F1010"/>
  <c r="F1006"/>
  <c r="D1006"/>
  <c r="A1006"/>
  <c r="E1000"/>
  <c r="E999"/>
  <c r="F997"/>
  <c r="E997"/>
  <c r="D997"/>
  <c r="A996"/>
  <c r="A995"/>
  <c r="A994"/>
  <c r="A991"/>
  <c r="F985"/>
  <c r="D985"/>
  <c r="A985"/>
  <c r="E984"/>
  <c r="E985" s="1"/>
  <c r="C978"/>
  <c r="C977"/>
  <c r="B973"/>
  <c r="A969"/>
  <c r="F966"/>
  <c r="D966"/>
  <c r="A966"/>
  <c r="E965"/>
  <c r="E963"/>
  <c r="E961"/>
  <c r="D959"/>
  <c r="F958"/>
  <c r="G958" s="1"/>
  <c r="A958"/>
  <c r="F957"/>
  <c r="G957" s="1"/>
  <c r="F956"/>
  <c r="G956" s="1"/>
  <c r="E955"/>
  <c r="F954"/>
  <c r="G954" s="1"/>
  <c r="A954"/>
  <c r="F953"/>
  <c r="G953" s="1"/>
  <c r="E953"/>
  <c r="F952"/>
  <c r="G952" s="1"/>
  <c r="F951"/>
  <c r="G951" s="1"/>
  <c r="F948"/>
  <c r="C942"/>
  <c r="C941"/>
  <c r="B937"/>
  <c r="D934"/>
  <c r="E933"/>
  <c r="A933"/>
  <c r="E932"/>
  <c r="E931"/>
  <c r="A931"/>
  <c r="F931" s="1"/>
  <c r="G931" s="1"/>
  <c r="E930"/>
  <c r="A930"/>
  <c r="E929"/>
  <c r="A929"/>
  <c r="F929" s="1"/>
  <c r="G929" s="1"/>
  <c r="E928"/>
  <c r="A928"/>
  <c r="F927"/>
  <c r="E924"/>
  <c r="D922"/>
  <c r="A921"/>
  <c r="E920"/>
  <c r="E922" s="1"/>
  <c r="A920"/>
  <c r="D918"/>
  <c r="E916"/>
  <c r="A916"/>
  <c r="A915"/>
  <c r="F915" s="1"/>
  <c r="E914"/>
  <c r="A914"/>
  <c r="D912"/>
  <c r="E911"/>
  <c r="G911" s="1"/>
  <c r="A911"/>
  <c r="E910"/>
  <c r="A910"/>
  <c r="E909"/>
  <c r="G909" s="1"/>
  <c r="A909"/>
  <c r="E908"/>
  <c r="A908"/>
  <c r="E907"/>
  <c r="A907"/>
  <c r="E906"/>
  <c r="E905"/>
  <c r="G905" s="1"/>
  <c r="A905"/>
  <c r="A904"/>
  <c r="E902"/>
  <c r="G902" s="1"/>
  <c r="A902"/>
  <c r="E901"/>
  <c r="G901" s="1"/>
  <c r="A901"/>
  <c r="F899"/>
  <c r="E899"/>
  <c r="F898"/>
  <c r="E898"/>
  <c r="G898" s="1"/>
  <c r="E897"/>
  <c r="G897" s="1"/>
  <c r="E896"/>
  <c r="D892"/>
  <c r="A892"/>
  <c r="F891"/>
  <c r="E891"/>
  <c r="G891" s="1"/>
  <c r="F890"/>
  <c r="F889"/>
  <c r="F888"/>
  <c r="E888"/>
  <c r="G888" s="1"/>
  <c r="E887"/>
  <c r="H887" s="1"/>
  <c r="I887" s="1"/>
  <c r="F886"/>
  <c r="E886"/>
  <c r="G886" s="1"/>
  <c r="F885"/>
  <c r="E885"/>
  <c r="G885" s="1"/>
  <c r="F884"/>
  <c r="F883"/>
  <c r="E883"/>
  <c r="G883" s="1"/>
  <c r="D880"/>
  <c r="A878"/>
  <c r="F878" s="1"/>
  <c r="G878" s="1"/>
  <c r="E877"/>
  <c r="A877"/>
  <c r="F877" s="1"/>
  <c r="G877" s="1"/>
  <c r="E874"/>
  <c r="A874"/>
  <c r="A880" s="1"/>
  <c r="E873"/>
  <c r="F872"/>
  <c r="E871"/>
  <c r="C867"/>
  <c r="C866"/>
  <c r="B862"/>
  <c r="F856"/>
  <c r="D856"/>
  <c r="E855"/>
  <c r="E856" s="1"/>
  <c r="A855"/>
  <c r="A856" s="1"/>
  <c r="D853"/>
  <c r="A853"/>
  <c r="F849"/>
  <c r="E848"/>
  <c r="E847"/>
  <c r="E845"/>
  <c r="C836"/>
  <c r="C835"/>
  <c r="B831"/>
  <c r="F828"/>
  <c r="F830" s="1"/>
  <c r="D828"/>
  <c r="A828"/>
  <c r="A830" s="1"/>
  <c r="E827"/>
  <c r="E828" s="1"/>
  <c r="E824"/>
  <c r="G824" s="1"/>
  <c r="D820"/>
  <c r="A820"/>
  <c r="F819"/>
  <c r="G819" s="1"/>
  <c r="F818"/>
  <c r="E818"/>
  <c r="E820" s="1"/>
  <c r="C813"/>
  <c r="C812"/>
  <c r="D807"/>
  <c r="F805"/>
  <c r="F807" s="1"/>
  <c r="E804"/>
  <c r="E805" s="1"/>
  <c r="E807" s="1"/>
  <c r="A804"/>
  <c r="A805" s="1"/>
  <c r="A807" s="1"/>
  <c r="D799"/>
  <c r="A799"/>
  <c r="A808" s="1"/>
  <c r="F798"/>
  <c r="F799" s="1"/>
  <c r="B789"/>
  <c r="E786"/>
  <c r="D784"/>
  <c r="A784"/>
  <c r="E783"/>
  <c r="E782"/>
  <c r="A780"/>
  <c r="E778"/>
  <c r="G778" s="1"/>
  <c r="F777"/>
  <c r="G777" s="1"/>
  <c r="E775"/>
  <c r="G775" s="1"/>
  <c r="F773"/>
  <c r="F780" s="1"/>
  <c r="E772"/>
  <c r="G772" s="1"/>
  <c r="E771"/>
  <c r="E770"/>
  <c r="D768"/>
  <c r="A768"/>
  <c r="F767"/>
  <c r="G767" s="1"/>
  <c r="E767"/>
  <c r="F766"/>
  <c r="G766" s="1"/>
  <c r="F765"/>
  <c r="G765" s="1"/>
  <c r="E764"/>
  <c r="G764" s="1"/>
  <c r="F763"/>
  <c r="G763" s="1"/>
  <c r="E763"/>
  <c r="F762"/>
  <c r="G762" s="1"/>
  <c r="F761"/>
  <c r="E761"/>
  <c r="G761" s="1"/>
  <c r="F760"/>
  <c r="G760" s="1"/>
  <c r="E760"/>
  <c r="D756"/>
  <c r="A756"/>
  <c r="F755"/>
  <c r="G755" s="1"/>
  <c r="C750"/>
  <c r="C749"/>
  <c r="B745"/>
  <c r="E742"/>
  <c r="G742" s="1"/>
  <c r="F740"/>
  <c r="E740"/>
  <c r="D740"/>
  <c r="A737"/>
  <c r="A740" s="1"/>
  <c r="D734"/>
  <c r="A734"/>
  <c r="A735" s="1"/>
  <c r="F733"/>
  <c r="E733"/>
  <c r="G733" s="1"/>
  <c r="E732"/>
  <c r="E731"/>
  <c r="G731" s="1"/>
  <c r="E730"/>
  <c r="G730" s="1"/>
  <c r="E729"/>
  <c r="E726"/>
  <c r="G726" s="1"/>
  <c r="E725"/>
  <c r="E724"/>
  <c r="G724" s="1"/>
  <c r="E723"/>
  <c r="G723" s="1"/>
  <c r="E722"/>
  <c r="G722" s="1"/>
  <c r="E717"/>
  <c r="G717" s="1"/>
  <c r="E715"/>
  <c r="D712"/>
  <c r="A712"/>
  <c r="F711"/>
  <c r="G711" s="1"/>
  <c r="E711"/>
  <c r="F710"/>
  <c r="G710" s="1"/>
  <c r="F709"/>
  <c r="G709" s="1"/>
  <c r="E709"/>
  <c r="F708"/>
  <c r="G708" s="1"/>
  <c r="E708"/>
  <c r="F707"/>
  <c r="G707" s="1"/>
  <c r="F706"/>
  <c r="G706" s="1"/>
  <c r="F705"/>
  <c r="G705" s="1"/>
  <c r="F704"/>
  <c r="G704" s="1"/>
  <c r="E704"/>
  <c r="D699"/>
  <c r="A699"/>
  <c r="E698"/>
  <c r="G698" s="1"/>
  <c r="E697"/>
  <c r="G697" s="1"/>
  <c r="F696"/>
  <c r="H696" s="1"/>
  <c r="H699" s="1"/>
  <c r="C692"/>
  <c r="C691"/>
  <c r="B687"/>
  <c r="F682"/>
  <c r="D682"/>
  <c r="E680"/>
  <c r="E679"/>
  <c r="A679"/>
  <c r="E678"/>
  <c r="A678"/>
  <c r="E677"/>
  <c r="E676"/>
  <c r="E675"/>
  <c r="D673"/>
  <c r="A673"/>
  <c r="E672"/>
  <c r="E671"/>
  <c r="G671" s="1"/>
  <c r="E670"/>
  <c r="G670" s="1"/>
  <c r="F669"/>
  <c r="G669" s="1"/>
  <c r="F668"/>
  <c r="E668"/>
  <c r="G668" s="1"/>
  <c r="E665"/>
  <c r="G665" s="1"/>
  <c r="F664"/>
  <c r="G664" s="1"/>
  <c r="F662"/>
  <c r="E661"/>
  <c r="G661" s="1"/>
  <c r="E660"/>
  <c r="E659"/>
  <c r="E658"/>
  <c r="D656"/>
  <c r="A656"/>
  <c r="F655"/>
  <c r="G655" s="1"/>
  <c r="E655"/>
  <c r="F654"/>
  <c r="G654" s="1"/>
  <c r="F653"/>
  <c r="G653" s="1"/>
  <c r="E652"/>
  <c r="F651"/>
  <c r="G651" s="1"/>
  <c r="E651"/>
  <c r="F650"/>
  <c r="G650" s="1"/>
  <c r="E650"/>
  <c r="F649"/>
  <c r="G649" s="1"/>
  <c r="F648"/>
  <c r="G648" s="1"/>
  <c r="D645"/>
  <c r="A645"/>
  <c r="F644"/>
  <c r="C641"/>
  <c r="C640"/>
  <c r="B636"/>
  <c r="F633"/>
  <c r="E633"/>
  <c r="D633"/>
  <c r="A633"/>
  <c r="E628"/>
  <c r="A628"/>
  <c r="A630" s="1"/>
  <c r="F625"/>
  <c r="A625"/>
  <c r="D622"/>
  <c r="A622"/>
  <c r="F621"/>
  <c r="G621" s="1"/>
  <c r="C616"/>
  <c r="C615"/>
  <c r="B611"/>
  <c r="D608"/>
  <c r="A607"/>
  <c r="E606"/>
  <c r="A606"/>
  <c r="E605"/>
  <c r="A605"/>
  <c r="A604"/>
  <c r="F603"/>
  <c r="G603" s="1"/>
  <c r="F602"/>
  <c r="G602" s="1"/>
  <c r="F599"/>
  <c r="D599"/>
  <c r="A599"/>
  <c r="D589"/>
  <c r="A589"/>
  <c r="F588"/>
  <c r="C584"/>
  <c r="C583"/>
  <c r="B579"/>
  <c r="F578"/>
  <c r="E578"/>
  <c r="D578"/>
  <c r="F571"/>
  <c r="D571"/>
  <c r="E570"/>
  <c r="E569"/>
  <c r="G569" s="1"/>
  <c r="E568"/>
  <c r="G568" s="1"/>
  <c r="A568"/>
  <c r="E567"/>
  <c r="G567" s="1"/>
  <c r="A567"/>
  <c r="E566"/>
  <c r="G566" s="1"/>
  <c r="A566"/>
  <c r="E565"/>
  <c r="G565" s="1"/>
  <c r="A565"/>
  <c r="A571" s="1"/>
  <c r="D563"/>
  <c r="A563"/>
  <c r="F562"/>
  <c r="G562" s="1"/>
  <c r="E562"/>
  <c r="F561"/>
  <c r="G561" s="1"/>
  <c r="F560"/>
  <c r="G560" s="1"/>
  <c r="H560" s="1"/>
  <c r="I560" s="1"/>
  <c r="F559"/>
  <c r="G559" s="1"/>
  <c r="F558"/>
  <c r="G558" s="1"/>
  <c r="F557"/>
  <c r="I557" s="1"/>
  <c r="E557"/>
  <c r="F556"/>
  <c r="G556" s="1"/>
  <c r="F555"/>
  <c r="G555" s="1"/>
  <c r="D551"/>
  <c r="A550"/>
  <c r="A551" s="1"/>
  <c r="F549"/>
  <c r="E548"/>
  <c r="E547"/>
  <c r="C541"/>
  <c r="C540"/>
  <c r="B536"/>
  <c r="F533"/>
  <c r="E533"/>
  <c r="F531"/>
  <c r="D531"/>
  <c r="E530"/>
  <c r="A530"/>
  <c r="A531" s="1"/>
  <c r="E529"/>
  <c r="E528"/>
  <c r="D526"/>
  <c r="E525"/>
  <c r="G525" s="1"/>
  <c r="A525"/>
  <c r="E524"/>
  <c r="F523"/>
  <c r="E523"/>
  <c r="G523" s="1"/>
  <c r="F521"/>
  <c r="F520"/>
  <c r="E520"/>
  <c r="F519"/>
  <c r="G519" s="1"/>
  <c r="E519"/>
  <c r="A518"/>
  <c r="E517"/>
  <c r="G517" s="1"/>
  <c r="A517"/>
  <c r="E516"/>
  <c r="D514"/>
  <c r="A514"/>
  <c r="F513"/>
  <c r="G513" s="1"/>
  <c r="F512"/>
  <c r="G512" s="1"/>
  <c r="F511"/>
  <c r="G511" s="1"/>
  <c r="F510"/>
  <c r="G510" s="1"/>
  <c r="F509"/>
  <c r="G509" s="1"/>
  <c r="E509"/>
  <c r="F508"/>
  <c r="G508" s="1"/>
  <c r="F507"/>
  <c r="G507" s="1"/>
  <c r="D503"/>
  <c r="A503"/>
  <c r="E502"/>
  <c r="F501"/>
  <c r="C497"/>
  <c r="C496"/>
  <c r="B492"/>
  <c r="E489"/>
  <c r="F487"/>
  <c r="D487"/>
  <c r="E485"/>
  <c r="A485"/>
  <c r="A487" s="1"/>
  <c r="D482"/>
  <c r="E481"/>
  <c r="A481"/>
  <c r="E480"/>
  <c r="F479"/>
  <c r="G479" s="1"/>
  <c r="F478"/>
  <c r="G478" s="1"/>
  <c r="E478"/>
  <c r="E477"/>
  <c r="E476"/>
  <c r="G476" s="1"/>
  <c r="E475"/>
  <c r="E474"/>
  <c r="G474" s="1"/>
  <c r="E473"/>
  <c r="A473"/>
  <c r="E471"/>
  <c r="A471"/>
  <c r="A482" s="1"/>
  <c r="F470"/>
  <c r="G470" s="1"/>
  <c r="E469"/>
  <c r="E467"/>
  <c r="G467" s="1"/>
  <c r="E466"/>
  <c r="D464"/>
  <c r="A464"/>
  <c r="F463"/>
  <c r="G463" s="1"/>
  <c r="F462"/>
  <c r="G462" s="1"/>
  <c r="E461"/>
  <c r="G461" s="1"/>
  <c r="F460"/>
  <c r="G460" s="1"/>
  <c r="F459"/>
  <c r="G459" s="1"/>
  <c r="E459"/>
  <c r="F458"/>
  <c r="H458" s="1"/>
  <c r="I458" s="1"/>
  <c r="E458"/>
  <c r="F457"/>
  <c r="G457" s="1"/>
  <c r="E457"/>
  <c r="D453"/>
  <c r="A453"/>
  <c r="E452"/>
  <c r="F451"/>
  <c r="G451" s="1"/>
  <c r="E450"/>
  <c r="F449"/>
  <c r="G449" s="1"/>
  <c r="E449"/>
  <c r="F448"/>
  <c r="C444"/>
  <c r="C443"/>
  <c r="D436"/>
  <c r="A436"/>
  <c r="E435"/>
  <c r="F434"/>
  <c r="D432"/>
  <c r="A432"/>
  <c r="E431"/>
  <c r="E430"/>
  <c r="E429"/>
  <c r="F427"/>
  <c r="G427" s="1"/>
  <c r="E426"/>
  <c r="D422"/>
  <c r="A422"/>
  <c r="F421"/>
  <c r="G421" s="1"/>
  <c r="F420"/>
  <c r="G420" s="1"/>
  <c r="F419"/>
  <c r="G419" s="1"/>
  <c r="H419" s="1"/>
  <c r="I419" s="1"/>
  <c r="F418"/>
  <c r="G418" s="1"/>
  <c r="F417"/>
  <c r="G417" s="1"/>
  <c r="F416"/>
  <c r="G416" s="1"/>
  <c r="F415"/>
  <c r="G415" s="1"/>
  <c r="D412"/>
  <c r="A412"/>
  <c r="E411"/>
  <c r="F410"/>
  <c r="E410"/>
  <c r="E412" s="1"/>
  <c r="C407"/>
  <c r="C406"/>
  <c r="F399"/>
  <c r="D399"/>
  <c r="A399"/>
  <c r="A401" s="1"/>
  <c r="E398"/>
  <c r="E399" s="1"/>
  <c r="F395"/>
  <c r="E395"/>
  <c r="D395"/>
  <c r="A395"/>
  <c r="E388"/>
  <c r="F386"/>
  <c r="G386" s="1"/>
  <c r="F385"/>
  <c r="G385" s="1"/>
  <c r="E385"/>
  <c r="F384"/>
  <c r="G384" s="1"/>
  <c r="F383"/>
  <c r="F382"/>
  <c r="F381"/>
  <c r="G381" s="1"/>
  <c r="E381"/>
  <c r="D378"/>
  <c r="F377"/>
  <c r="G377" s="1"/>
  <c r="F376"/>
  <c r="G376" s="1"/>
  <c r="F375"/>
  <c r="G375" s="1"/>
  <c r="E375"/>
  <c r="E374"/>
  <c r="F373"/>
  <c r="G373" s="1"/>
  <c r="F372"/>
  <c r="G372" s="1"/>
  <c r="F371"/>
  <c r="G371" s="1"/>
  <c r="F366"/>
  <c r="D366"/>
  <c r="A366"/>
  <c r="A402" s="1"/>
  <c r="E364"/>
  <c r="E366" s="1"/>
  <c r="C361"/>
  <c r="C360"/>
  <c r="F354"/>
  <c r="D354"/>
  <c r="A354"/>
  <c r="E353"/>
  <c r="E354" s="1"/>
  <c r="F351"/>
  <c r="D351"/>
  <c r="A351"/>
  <c r="E350"/>
  <c r="E351" s="1"/>
  <c r="D347"/>
  <c r="E346"/>
  <c r="A345"/>
  <c r="E344"/>
  <c r="E343"/>
  <c r="E342"/>
  <c r="F341"/>
  <c r="E340"/>
  <c r="A340"/>
  <c r="A347" s="1"/>
  <c r="E339"/>
  <c r="D337"/>
  <c r="A337"/>
  <c r="F336"/>
  <c r="F335"/>
  <c r="F334"/>
  <c r="F333"/>
  <c r="F332"/>
  <c r="F331"/>
  <c r="D328"/>
  <c r="A328"/>
  <c r="F327"/>
  <c r="G327" s="1"/>
  <c r="C323"/>
  <c r="C322"/>
  <c r="B318"/>
  <c r="F316"/>
  <c r="D316"/>
  <c r="A316"/>
  <c r="E315"/>
  <c r="E316" s="1"/>
  <c r="F313"/>
  <c r="D313"/>
  <c r="E312"/>
  <c r="E313" s="1"/>
  <c r="A312"/>
  <c r="A313" s="1"/>
  <c r="D310"/>
  <c r="A310"/>
  <c r="E309"/>
  <c r="E308"/>
  <c r="F306"/>
  <c r="E305"/>
  <c r="E304"/>
  <c r="G304" s="1"/>
  <c r="D302"/>
  <c r="A302"/>
  <c r="F301"/>
  <c r="E301"/>
  <c r="G301" s="1"/>
  <c r="F300"/>
  <c r="F299"/>
  <c r="F298"/>
  <c r="F297"/>
  <c r="E297"/>
  <c r="G297" s="1"/>
  <c r="F296"/>
  <c r="F295"/>
  <c r="F294"/>
  <c r="E294"/>
  <c r="G294" s="1"/>
  <c r="F292"/>
  <c r="E292"/>
  <c r="D292"/>
  <c r="A292"/>
  <c r="C287"/>
  <c r="C286"/>
  <c r="F276"/>
  <c r="D276"/>
  <c r="E275"/>
  <c r="A275"/>
  <c r="E274"/>
  <c r="A274"/>
  <c r="A276" s="1"/>
  <c r="E273"/>
  <c r="A271"/>
  <c r="E269"/>
  <c r="F268"/>
  <c r="H268" s="1"/>
  <c r="I268" s="1"/>
  <c r="E268"/>
  <c r="E267"/>
  <c r="E264"/>
  <c r="E263"/>
  <c r="E262"/>
  <c r="E261"/>
  <c r="E260"/>
  <c r="E259"/>
  <c r="E258"/>
  <c r="E256"/>
  <c r="E255"/>
  <c r="E254"/>
  <c r="E252"/>
  <c r="F249"/>
  <c r="E249"/>
  <c r="G249" s="1"/>
  <c r="E248"/>
  <c r="G248" s="1"/>
  <c r="E247"/>
  <c r="G247" s="1"/>
  <c r="A245"/>
  <c r="F243"/>
  <c r="F242"/>
  <c r="E242"/>
  <c r="G242" s="1"/>
  <c r="F241"/>
  <c r="F240"/>
  <c r="E240" s="1"/>
  <c r="G240" s="1"/>
  <c r="F239"/>
  <c r="F238"/>
  <c r="E238"/>
  <c r="G238" s="1"/>
  <c r="F237"/>
  <c r="F236"/>
  <c r="E236"/>
  <c r="F233"/>
  <c r="E233"/>
  <c r="D233"/>
  <c r="C228"/>
  <c r="C227"/>
  <c r="B223"/>
  <c r="F220"/>
  <c r="G220" s="1"/>
  <c r="E220"/>
  <c r="D220"/>
  <c r="A220"/>
  <c r="A217"/>
  <c r="F214"/>
  <c r="G214" s="1"/>
  <c r="F213"/>
  <c r="G213" s="1"/>
  <c r="E213"/>
  <c r="F212"/>
  <c r="H212" s="1"/>
  <c r="I212" s="1"/>
  <c r="F211"/>
  <c r="G211" s="1"/>
  <c r="E211"/>
  <c r="F210"/>
  <c r="G210" s="1"/>
  <c r="F209"/>
  <c r="F208"/>
  <c r="G208" s="1"/>
  <c r="E208"/>
  <c r="D206"/>
  <c r="A206"/>
  <c r="F205"/>
  <c r="F204"/>
  <c r="F203"/>
  <c r="F202"/>
  <c r="F201"/>
  <c r="E201"/>
  <c r="G201" s="1"/>
  <c r="F200"/>
  <c r="E200"/>
  <c r="G200" s="1"/>
  <c r="F199"/>
  <c r="D196"/>
  <c r="A194"/>
  <c r="A196" s="1"/>
  <c r="F193"/>
  <c r="F192"/>
  <c r="E192" s="1"/>
  <c r="G192" s="1"/>
  <c r="F191"/>
  <c r="E191" s="1"/>
  <c r="G191" s="1"/>
  <c r="F190"/>
  <c r="F188"/>
  <c r="C183"/>
  <c r="C182"/>
  <c r="B179"/>
  <c r="A176"/>
  <c r="D174"/>
  <c r="A174"/>
  <c r="E173"/>
  <c r="G173" s="1"/>
  <c r="F172"/>
  <c r="D169"/>
  <c r="F168"/>
  <c r="E168"/>
  <c r="E166"/>
  <c r="G166" s="1"/>
  <c r="F165"/>
  <c r="E164"/>
  <c r="A164"/>
  <c r="F163"/>
  <c r="E163"/>
  <c r="G163" s="1"/>
  <c r="F162"/>
  <c r="E161"/>
  <c r="G161" s="1"/>
  <c r="E160"/>
  <c r="H160" s="1"/>
  <c r="I160" s="1"/>
  <c r="E159"/>
  <c r="F157"/>
  <c r="F156"/>
  <c r="A155"/>
  <c r="A154"/>
  <c r="E153"/>
  <c r="H153" s="1"/>
  <c r="I153" s="1"/>
  <c r="A153"/>
  <c r="E152"/>
  <c r="G152" s="1"/>
  <c r="E151"/>
  <c r="G151" s="1"/>
  <c r="E150"/>
  <c r="G150" s="1"/>
  <c r="E149"/>
  <c r="G149" s="1"/>
  <c r="F148"/>
  <c r="E147"/>
  <c r="G147" s="1"/>
  <c r="E146"/>
  <c r="G146" s="1"/>
  <c r="A146"/>
  <c r="F145"/>
  <c r="E144"/>
  <c r="E143"/>
  <c r="A143"/>
  <c r="F142"/>
  <c r="A141"/>
  <c r="F140"/>
  <c r="D138"/>
  <c r="A138"/>
  <c r="F137"/>
  <c r="F136"/>
  <c r="F135"/>
  <c r="F134"/>
  <c r="E134"/>
  <c r="G134" s="1"/>
  <c r="F133"/>
  <c r="F132"/>
  <c r="F131"/>
  <c r="F130"/>
  <c r="D127"/>
  <c r="A127"/>
  <c r="E126"/>
  <c r="F125"/>
  <c r="F124"/>
  <c r="E123"/>
  <c r="C119"/>
  <c r="C118"/>
  <c r="B114"/>
  <c r="F107"/>
  <c r="D107"/>
  <c r="A107"/>
  <c r="E106"/>
  <c r="E107" s="1"/>
  <c r="E101"/>
  <c r="E100"/>
  <c r="E99"/>
  <c r="E98"/>
  <c r="F96"/>
  <c r="E94"/>
  <c r="F92"/>
  <c r="E92"/>
  <c r="G92" s="1"/>
  <c r="F91"/>
  <c r="I91" s="1"/>
  <c r="E91"/>
  <c r="G91" s="1"/>
  <c r="F90"/>
  <c r="F89"/>
  <c r="G89" s="1"/>
  <c r="F88"/>
  <c r="D86"/>
  <c r="A86"/>
  <c r="F85"/>
  <c r="F84"/>
  <c r="F83"/>
  <c r="F82"/>
  <c r="F81"/>
  <c r="F80"/>
  <c r="F79"/>
  <c r="F75"/>
  <c r="D75"/>
  <c r="A75"/>
  <c r="E74"/>
  <c r="E73"/>
  <c r="E72"/>
  <c r="E71"/>
  <c r="E69"/>
  <c r="E68"/>
  <c r="C65"/>
  <c r="C64"/>
  <c r="C793" s="1"/>
  <c r="F57"/>
  <c r="D57"/>
  <c r="A57"/>
  <c r="E56"/>
  <c r="E57" s="1"/>
  <c r="D53"/>
  <c r="A53"/>
  <c r="F52"/>
  <c r="E51"/>
  <c r="A48"/>
  <c r="F44"/>
  <c r="G44" s="1"/>
  <c r="E44"/>
  <c r="F43"/>
  <c r="E42"/>
  <c r="E41"/>
  <c r="E40"/>
  <c r="E39"/>
  <c r="E38"/>
  <c r="F37"/>
  <c r="E33"/>
  <c r="E31"/>
  <c r="F30"/>
  <c r="F29"/>
  <c r="G29" s="1"/>
  <c r="F28"/>
  <c r="D24"/>
  <c r="A24"/>
  <c r="F22"/>
  <c r="F21"/>
  <c r="F18"/>
  <c r="F13"/>
  <c r="D13"/>
  <c r="A13"/>
  <c r="E10"/>
  <c r="E8"/>
  <c r="E67" i="13"/>
  <c r="E65"/>
  <c r="E64"/>
  <c r="E60"/>
  <c r="E18"/>
  <c r="E17"/>
  <c r="E9"/>
  <c r="E8"/>
  <c r="C68"/>
  <c r="C70" s="1"/>
  <c r="C97" i="26" s="1"/>
  <c r="I60" i="13"/>
  <c r="I68"/>
  <c r="I70" s="1"/>
  <c r="I97" i="26" s="1"/>
  <c r="H68" i="13"/>
  <c r="G68"/>
  <c r="F68"/>
  <c r="F70" s="1"/>
  <c r="F97" i="26" s="1"/>
  <c r="D68" i="13"/>
  <c r="H60"/>
  <c r="G60"/>
  <c r="D60"/>
  <c r="H8"/>
  <c r="H11" s="1"/>
  <c r="H951" i="8" l="1"/>
  <c r="H952"/>
  <c r="I952" s="1"/>
  <c r="H953"/>
  <c r="I953" s="1"/>
  <c r="H954"/>
  <c r="I954" s="1"/>
  <c r="H772"/>
  <c r="I772" s="1"/>
  <c r="H775"/>
  <c r="I775" s="1"/>
  <c r="H70" i="13"/>
  <c r="H97" i="26" s="1"/>
  <c r="H717" i="8"/>
  <c r="I717" s="1"/>
  <c r="D70" i="13"/>
  <c r="D97" i="26" s="1"/>
  <c r="G70" i="13"/>
  <c r="G97" i="26" s="1"/>
  <c r="H467" i="8"/>
  <c r="I467" s="1"/>
  <c r="H517"/>
  <c r="I517" s="1"/>
  <c r="H565"/>
  <c r="G571"/>
  <c r="H566"/>
  <c r="I566" s="1"/>
  <c r="H567"/>
  <c r="I567" s="1"/>
  <c r="H568"/>
  <c r="I568" s="1"/>
  <c r="H661"/>
  <c r="I661" s="1"/>
  <c r="H671"/>
  <c r="I671" s="1"/>
  <c r="G682"/>
  <c r="H722"/>
  <c r="I722" s="1"/>
  <c r="H724"/>
  <c r="I724" s="1"/>
  <c r="H726"/>
  <c r="I726" s="1"/>
  <c r="H730"/>
  <c r="I730" s="1"/>
  <c r="H778"/>
  <c r="I778" s="1"/>
  <c r="H896"/>
  <c r="I896" s="1"/>
  <c r="H905"/>
  <c r="I905" s="1"/>
  <c r="H1047"/>
  <c r="I1047" s="1"/>
  <c r="H1050"/>
  <c r="I1050" s="1"/>
  <c r="H1052"/>
  <c r="I1052" s="1"/>
  <c r="H1053"/>
  <c r="I1053" s="1"/>
  <c r="F48"/>
  <c r="E784"/>
  <c r="H68"/>
  <c r="G236"/>
  <c r="H304"/>
  <c r="I304" s="1"/>
  <c r="H474"/>
  <c r="I474" s="1"/>
  <c r="H476"/>
  <c r="I476" s="1"/>
  <c r="H525"/>
  <c r="I525" s="1"/>
  <c r="H569"/>
  <c r="I569" s="1"/>
  <c r="G588"/>
  <c r="H665"/>
  <c r="I665" s="1"/>
  <c r="H670"/>
  <c r="I670" s="1"/>
  <c r="H723"/>
  <c r="I723" s="1"/>
  <c r="H731"/>
  <c r="I731" s="1"/>
  <c r="H897"/>
  <c r="I897" s="1"/>
  <c r="H901"/>
  <c r="I901" s="1"/>
  <c r="H902"/>
  <c r="I902" s="1"/>
  <c r="H906"/>
  <c r="I906" s="1"/>
  <c r="H907"/>
  <c r="I907" s="1"/>
  <c r="H908"/>
  <c r="I908" s="1"/>
  <c r="H909"/>
  <c r="I909" s="1"/>
  <c r="H911"/>
  <c r="I911" s="1"/>
  <c r="H1038"/>
  <c r="I1038" s="1"/>
  <c r="H1045"/>
  <c r="G1055"/>
  <c r="H1046"/>
  <c r="I1046" s="1"/>
  <c r="H1049"/>
  <c r="I1049" s="1"/>
  <c r="H1054"/>
  <c r="I1054" s="1"/>
  <c r="E11" i="13"/>
  <c r="E19"/>
  <c r="F245" i="8"/>
  <c r="F271" s="1"/>
  <c r="G88"/>
  <c r="F104"/>
  <c r="E630"/>
  <c r="H819"/>
  <c r="I819" s="1"/>
  <c r="H849"/>
  <c r="H238"/>
  <c r="I238" s="1"/>
  <c r="H247"/>
  <c r="H249"/>
  <c r="I249" s="1"/>
  <c r="H294"/>
  <c r="H297"/>
  <c r="I297" s="1"/>
  <c r="H371"/>
  <c r="H373"/>
  <c r="I373" s="1"/>
  <c r="H376"/>
  <c r="I376" s="1"/>
  <c r="H381"/>
  <c r="H386"/>
  <c r="I386" s="1"/>
  <c r="H416"/>
  <c r="I416" s="1"/>
  <c r="H418"/>
  <c r="I418" s="1"/>
  <c r="H420"/>
  <c r="I420" s="1"/>
  <c r="H457"/>
  <c r="H459"/>
  <c r="I459" s="1"/>
  <c r="H461"/>
  <c r="I461" s="1"/>
  <c r="H463"/>
  <c r="I463" s="1"/>
  <c r="H470"/>
  <c r="H478"/>
  <c r="I478" s="1"/>
  <c r="H507"/>
  <c r="H510"/>
  <c r="I510" s="1"/>
  <c r="H512"/>
  <c r="I512" s="1"/>
  <c r="H521"/>
  <c r="I521" s="1"/>
  <c r="H523"/>
  <c r="I523" s="1"/>
  <c r="H556"/>
  <c r="I556" s="1"/>
  <c r="H559"/>
  <c r="I559" s="1"/>
  <c r="H561"/>
  <c r="I561" s="1"/>
  <c r="H562"/>
  <c r="I562" s="1"/>
  <c r="H603"/>
  <c r="I603" s="1"/>
  <c r="H648"/>
  <c r="H654"/>
  <c r="I654" s="1"/>
  <c r="H655"/>
  <c r="I655" s="1"/>
  <c r="H664"/>
  <c r="I664" s="1"/>
  <c r="H669"/>
  <c r="I669" s="1"/>
  <c r="I697"/>
  <c r="H705"/>
  <c r="I705" s="1"/>
  <c r="H707"/>
  <c r="I707" s="1"/>
  <c r="H708"/>
  <c r="I708" s="1"/>
  <c r="H709"/>
  <c r="I709" s="1"/>
  <c r="H733"/>
  <c r="H761"/>
  <c r="I761" s="1"/>
  <c r="H762"/>
  <c r="I762" s="1"/>
  <c r="H763"/>
  <c r="I763" s="1"/>
  <c r="H765"/>
  <c r="I765" s="1"/>
  <c r="H877"/>
  <c r="I877" s="1"/>
  <c r="H878"/>
  <c r="I878" s="1"/>
  <c r="H885"/>
  <c r="I885" s="1"/>
  <c r="H886"/>
  <c r="I886" s="1"/>
  <c r="H889"/>
  <c r="I889" s="1"/>
  <c r="H899"/>
  <c r="H956"/>
  <c r="I956" s="1"/>
  <c r="H236"/>
  <c r="H240"/>
  <c r="I240" s="1"/>
  <c r="H242"/>
  <c r="I242" s="1"/>
  <c r="H248"/>
  <c r="I248" s="1"/>
  <c r="H301"/>
  <c r="I301" s="1"/>
  <c r="H372"/>
  <c r="I372" s="1"/>
  <c r="H375"/>
  <c r="I375" s="1"/>
  <c r="H377"/>
  <c r="I377" s="1"/>
  <c r="H384"/>
  <c r="I384" s="1"/>
  <c r="H385"/>
  <c r="I385" s="1"/>
  <c r="H415"/>
  <c r="H417"/>
  <c r="I417" s="1"/>
  <c r="H421"/>
  <c r="I421" s="1"/>
  <c r="H427"/>
  <c r="H434"/>
  <c r="H449"/>
  <c r="I449" s="1"/>
  <c r="H451"/>
  <c r="I451" s="1"/>
  <c r="H460"/>
  <c r="I460" s="1"/>
  <c r="H462"/>
  <c r="I462" s="1"/>
  <c r="H479"/>
  <c r="I479" s="1"/>
  <c r="H508"/>
  <c r="I508" s="1"/>
  <c r="H509"/>
  <c r="I509" s="1"/>
  <c r="H511"/>
  <c r="I511" s="1"/>
  <c r="H513"/>
  <c r="I513" s="1"/>
  <c r="H519"/>
  <c r="H520"/>
  <c r="I520" s="1"/>
  <c r="H555"/>
  <c r="H558"/>
  <c r="I558" s="1"/>
  <c r="H602"/>
  <c r="H649"/>
  <c r="I649" s="1"/>
  <c r="H650"/>
  <c r="I650" s="1"/>
  <c r="H651"/>
  <c r="I651" s="1"/>
  <c r="H653"/>
  <c r="I653" s="1"/>
  <c r="H662"/>
  <c r="H668"/>
  <c r="I668" s="1"/>
  <c r="I698"/>
  <c r="H704"/>
  <c r="H706"/>
  <c r="I706" s="1"/>
  <c r="H710"/>
  <c r="I710" s="1"/>
  <c r="H711"/>
  <c r="I711" s="1"/>
  <c r="H760"/>
  <c r="H764"/>
  <c r="I764" s="1"/>
  <c r="H766"/>
  <c r="I766" s="1"/>
  <c r="H767"/>
  <c r="I767" s="1"/>
  <c r="H777"/>
  <c r="I777" s="1"/>
  <c r="H883"/>
  <c r="H888"/>
  <c r="I888" s="1"/>
  <c r="H891"/>
  <c r="I891" s="1"/>
  <c r="H929"/>
  <c r="I929" s="1"/>
  <c r="H931"/>
  <c r="I931" s="1"/>
  <c r="H957"/>
  <c r="I957" s="1"/>
  <c r="H958"/>
  <c r="I958" s="1"/>
  <c r="H150"/>
  <c r="I150" s="1"/>
  <c r="H152"/>
  <c r="I152" s="1"/>
  <c r="H164"/>
  <c r="I164" s="1"/>
  <c r="H166"/>
  <c r="I166" s="1"/>
  <c r="H200"/>
  <c r="I200" s="1"/>
  <c r="H201"/>
  <c r="I201" s="1"/>
  <c r="H213"/>
  <c r="I213" s="1"/>
  <c r="H1028"/>
  <c r="I1028" s="1"/>
  <c r="H1034"/>
  <c r="I1034" s="1"/>
  <c r="H1035"/>
  <c r="I1035" s="1"/>
  <c r="H165"/>
  <c r="I165" s="1"/>
  <c r="H149"/>
  <c r="I149" s="1"/>
  <c r="H151"/>
  <c r="I151" s="1"/>
  <c r="H161"/>
  <c r="I161" s="1"/>
  <c r="H163"/>
  <c r="I163" s="1"/>
  <c r="H168"/>
  <c r="I168" s="1"/>
  <c r="H173"/>
  <c r="I173" s="1"/>
  <c r="H192"/>
  <c r="I192" s="1"/>
  <c r="H208"/>
  <c r="H210"/>
  <c r="I210" s="1"/>
  <c r="H211"/>
  <c r="I211" s="1"/>
  <c r="H214"/>
  <c r="I214" s="1"/>
  <c r="H1027"/>
  <c r="I1027" s="1"/>
  <c r="H1036"/>
  <c r="I1036" s="1"/>
  <c r="H1037"/>
  <c r="I1037" s="1"/>
  <c r="H1040"/>
  <c r="I1040" s="1"/>
  <c r="H1041"/>
  <c r="I1041" s="1"/>
  <c r="H1042"/>
  <c r="I1042" s="1"/>
  <c r="H156"/>
  <c r="I156" s="1"/>
  <c r="H125"/>
  <c r="I125" s="1"/>
  <c r="H134"/>
  <c r="I134" s="1"/>
  <c r="H144"/>
  <c r="I144" s="1"/>
  <c r="H147"/>
  <c r="I147" s="1"/>
  <c r="H159"/>
  <c r="I159" s="1"/>
  <c r="H29"/>
  <c r="I29" s="1"/>
  <c r="H44"/>
  <c r="I44" s="1"/>
  <c r="H91"/>
  <c r="H92"/>
  <c r="I92" s="1"/>
  <c r="H94"/>
  <c r="I94" s="1"/>
  <c r="H143"/>
  <c r="I143" s="1"/>
  <c r="H146"/>
  <c r="I146" s="1"/>
  <c r="H97"/>
  <c r="I97" s="1"/>
  <c r="G1064"/>
  <c r="G786"/>
  <c r="G820"/>
  <c r="H818"/>
  <c r="H824"/>
  <c r="G830"/>
  <c r="F880"/>
  <c r="G872"/>
  <c r="I899"/>
  <c r="E1026"/>
  <c r="H1026"/>
  <c r="I760"/>
  <c r="I768" s="1"/>
  <c r="G773"/>
  <c r="G780" s="1"/>
  <c r="I849"/>
  <c r="I853" s="1"/>
  <c r="I861" s="1"/>
  <c r="I862" s="1"/>
  <c r="H853"/>
  <c r="H861" s="1"/>
  <c r="H862" s="1"/>
  <c r="I883"/>
  <c r="G918"/>
  <c r="H915"/>
  <c r="I951"/>
  <c r="G533"/>
  <c r="F551"/>
  <c r="G549"/>
  <c r="H656"/>
  <c r="I648"/>
  <c r="I656" s="1"/>
  <c r="I733"/>
  <c r="I734" s="1"/>
  <c r="H734"/>
  <c r="I555"/>
  <c r="I563" s="1"/>
  <c r="I578" s="1"/>
  <c r="H563"/>
  <c r="H578" s="1"/>
  <c r="G589"/>
  <c r="H588"/>
  <c r="I602"/>
  <c r="I608" s="1"/>
  <c r="I610" s="1"/>
  <c r="H608"/>
  <c r="H610" s="1"/>
  <c r="G622"/>
  <c r="G636" s="1"/>
  <c r="H621"/>
  <c r="F645"/>
  <c r="I662"/>
  <c r="I673" s="1"/>
  <c r="H712"/>
  <c r="I704"/>
  <c r="I712" s="1"/>
  <c r="H742"/>
  <c r="F756"/>
  <c r="I519"/>
  <c r="I526" s="1"/>
  <c r="H526"/>
  <c r="I507"/>
  <c r="I514" s="1"/>
  <c r="H514"/>
  <c r="I247"/>
  <c r="I294"/>
  <c r="H378"/>
  <c r="I371"/>
  <c r="I378" s="1"/>
  <c r="I381"/>
  <c r="H464"/>
  <c r="I457"/>
  <c r="I464" s="1"/>
  <c r="I470"/>
  <c r="I482" s="1"/>
  <c r="H482"/>
  <c r="D491"/>
  <c r="D492" s="1"/>
  <c r="F503"/>
  <c r="H501"/>
  <c r="H503" s="1"/>
  <c r="I236"/>
  <c r="E306"/>
  <c r="E310" s="1"/>
  <c r="G306"/>
  <c r="G310" s="1"/>
  <c r="F328"/>
  <c r="F347"/>
  <c r="G341"/>
  <c r="F412"/>
  <c r="G410"/>
  <c r="I415"/>
  <c r="I422" s="1"/>
  <c r="H422"/>
  <c r="I427"/>
  <c r="I432" s="1"/>
  <c r="H432"/>
  <c r="I434"/>
  <c r="H435"/>
  <c r="I435" s="1"/>
  <c r="F453"/>
  <c r="G448"/>
  <c r="E487"/>
  <c r="G485"/>
  <c r="I208"/>
  <c r="H191"/>
  <c r="H220"/>
  <c r="G75"/>
  <c r="H124"/>
  <c r="H127" s="1"/>
  <c r="F196"/>
  <c r="G28"/>
  <c r="A526"/>
  <c r="G608"/>
  <c r="F912"/>
  <c r="E1055"/>
  <c r="E209"/>
  <c r="G209" s="1"/>
  <c r="H209" s="1"/>
  <c r="G673"/>
  <c r="F127"/>
  <c r="G482"/>
  <c r="F579"/>
  <c r="D579"/>
  <c r="E571"/>
  <c r="E13"/>
  <c r="F53"/>
  <c r="E145"/>
  <c r="G145" s="1"/>
  <c r="F174"/>
  <c r="F734"/>
  <c r="G734"/>
  <c r="F853"/>
  <c r="G853"/>
  <c r="G861" s="1"/>
  <c r="G862" s="1"/>
  <c r="E927"/>
  <c r="E934" s="1"/>
  <c r="G927"/>
  <c r="E900"/>
  <c r="G900" s="1"/>
  <c r="A1055"/>
  <c r="F310"/>
  <c r="F432"/>
  <c r="F436"/>
  <c r="G436"/>
  <c r="F526"/>
  <c r="G526"/>
  <c r="E531"/>
  <c r="E755"/>
  <c r="E756" s="1"/>
  <c r="G18"/>
  <c r="E507"/>
  <c r="F464"/>
  <c r="F422"/>
  <c r="F563"/>
  <c r="E558"/>
  <c r="F768"/>
  <c r="E766"/>
  <c r="D744"/>
  <c r="D745" s="1"/>
  <c r="A788"/>
  <c r="A789" s="1"/>
  <c r="F808"/>
  <c r="A831"/>
  <c r="A918"/>
  <c r="E125"/>
  <c r="E157"/>
  <c r="E75"/>
  <c r="E81"/>
  <c r="G81" s="1"/>
  <c r="E84"/>
  <c r="G84" s="1"/>
  <c r="E89"/>
  <c r="H89" s="1"/>
  <c r="I89" s="1"/>
  <c r="E90"/>
  <c r="F169"/>
  <c r="F206"/>
  <c r="F217"/>
  <c r="E276"/>
  <c r="E336"/>
  <c r="G336" s="1"/>
  <c r="E382"/>
  <c r="G382" s="1"/>
  <c r="H382" s="1"/>
  <c r="E383"/>
  <c r="E384"/>
  <c r="E386"/>
  <c r="E432"/>
  <c r="E448"/>
  <c r="A578"/>
  <c r="A579" s="1"/>
  <c r="E682"/>
  <c r="A682"/>
  <c r="D788"/>
  <c r="D789" s="1"/>
  <c r="E798"/>
  <c r="F820"/>
  <c r="F831" s="1"/>
  <c r="D438"/>
  <c r="D439" s="1"/>
  <c r="A922"/>
  <c r="A934"/>
  <c r="A959"/>
  <c r="A972" s="1"/>
  <c r="A973" s="1"/>
  <c r="E966"/>
  <c r="D972"/>
  <c r="D973" s="1"/>
  <c r="E1006"/>
  <c r="E1027"/>
  <c r="E1043"/>
  <c r="A1043"/>
  <c r="E830"/>
  <c r="E831" s="1"/>
  <c r="A59"/>
  <c r="A60" s="1"/>
  <c r="A109"/>
  <c r="A114" s="1"/>
  <c r="E124"/>
  <c r="F138"/>
  <c r="A169"/>
  <c r="A178" s="1"/>
  <c r="A179" s="1"/>
  <c r="A222"/>
  <c r="A223" s="1"/>
  <c r="D281"/>
  <c r="D282" s="1"/>
  <c r="D317"/>
  <c r="D318" s="1"/>
  <c r="F337"/>
  <c r="F356" s="1"/>
  <c r="F357" s="1"/>
  <c r="E347"/>
  <c r="D401"/>
  <c r="D402" s="1"/>
  <c r="A438"/>
  <c r="A439" s="1"/>
  <c r="E734"/>
  <c r="E777"/>
  <c r="E849"/>
  <c r="F892"/>
  <c r="A912"/>
  <c r="F959"/>
  <c r="F972" s="1"/>
  <c r="F973" s="1"/>
  <c r="A997"/>
  <c r="D1016"/>
  <c r="D1017" s="1"/>
  <c r="F1016"/>
  <c r="F1017" s="1"/>
  <c r="F1031"/>
  <c r="E1028"/>
  <c r="D1067"/>
  <c r="D1068" s="1"/>
  <c r="D109"/>
  <c r="D114" s="1"/>
  <c r="D178"/>
  <c r="D179" s="1"/>
  <c r="E239"/>
  <c r="G239" s="1"/>
  <c r="A281"/>
  <c r="A282" s="1"/>
  <c r="D356"/>
  <c r="D357" s="1"/>
  <c r="E434"/>
  <c r="E460"/>
  <c r="E479"/>
  <c r="E482" s="1"/>
  <c r="E521"/>
  <c r="E526" s="1"/>
  <c r="D535"/>
  <c r="D536" s="1"/>
  <c r="A608"/>
  <c r="A610" s="1"/>
  <c r="A611" s="1"/>
  <c r="D610"/>
  <c r="D611" s="1"/>
  <c r="D635"/>
  <c r="D636" s="1"/>
  <c r="F635"/>
  <c r="E644"/>
  <c r="D808"/>
  <c r="A861"/>
  <c r="A862" s="1"/>
  <c r="D861"/>
  <c r="D862" s="1"/>
  <c r="A1016"/>
  <c r="A1017" s="1"/>
  <c r="D830"/>
  <c r="D831" s="1"/>
  <c r="D59"/>
  <c r="D60" s="1"/>
  <c r="D936"/>
  <c r="D937" s="1"/>
  <c r="E80"/>
  <c r="G80" s="1"/>
  <c r="E559"/>
  <c r="E555"/>
  <c r="E556"/>
  <c r="E890"/>
  <c r="G890" s="1"/>
  <c r="E561"/>
  <c r="E648"/>
  <c r="A744"/>
  <c r="A745" s="1"/>
  <c r="F302"/>
  <c r="E298"/>
  <c r="G298" s="1"/>
  <c r="E335"/>
  <c r="G335" s="1"/>
  <c r="E957"/>
  <c r="F1043"/>
  <c r="E237"/>
  <c r="F514"/>
  <c r="E649"/>
  <c r="E762"/>
  <c r="E884"/>
  <c r="G884" s="1"/>
  <c r="F24"/>
  <c r="E52"/>
  <c r="F86"/>
  <c r="E130"/>
  <c r="G130" s="1"/>
  <c r="E131"/>
  <c r="G131" s="1"/>
  <c r="E132"/>
  <c r="G132" s="1"/>
  <c r="E133"/>
  <c r="G133" s="1"/>
  <c r="E135"/>
  <c r="G135" s="1"/>
  <c r="E136"/>
  <c r="G136" s="1"/>
  <c r="E137"/>
  <c r="G137" s="1"/>
  <c r="E140"/>
  <c r="G140" s="1"/>
  <c r="E148"/>
  <c r="G148" s="1"/>
  <c r="E162"/>
  <c r="G162" s="1"/>
  <c r="E172"/>
  <c r="E193"/>
  <c r="G193" s="1"/>
  <c r="E199"/>
  <c r="G199" s="1"/>
  <c r="E204"/>
  <c r="G204" s="1"/>
  <c r="E205"/>
  <c r="G205" s="1"/>
  <c r="D222"/>
  <c r="D223" s="1"/>
  <c r="A356"/>
  <c r="A357" s="1"/>
  <c r="A535"/>
  <c r="A536" s="1"/>
  <c r="E18"/>
  <c r="E21"/>
  <c r="G21" s="1"/>
  <c r="E22"/>
  <c r="G22" s="1"/>
  <c r="E28"/>
  <c r="E29"/>
  <c r="E30"/>
  <c r="G30" s="1"/>
  <c r="E43"/>
  <c r="E79"/>
  <c r="G79" s="1"/>
  <c r="E82"/>
  <c r="G82" s="1"/>
  <c r="E83"/>
  <c r="G83" s="1"/>
  <c r="E85"/>
  <c r="G85" s="1"/>
  <c r="E88"/>
  <c r="A317"/>
  <c r="A318" s="1"/>
  <c r="A491"/>
  <c r="A492" s="1"/>
  <c r="F589"/>
  <c r="E588"/>
  <c r="E653"/>
  <c r="E654"/>
  <c r="F673"/>
  <c r="E669"/>
  <c r="E673" s="1"/>
  <c r="E878"/>
  <c r="E880" s="1"/>
  <c r="F918"/>
  <c r="E915"/>
  <c r="E918" s="1"/>
  <c r="E299"/>
  <c r="G299" s="1"/>
  <c r="E300"/>
  <c r="G300" s="1"/>
  <c r="E327"/>
  <c r="E331"/>
  <c r="G331" s="1"/>
  <c r="E332"/>
  <c r="G332" s="1"/>
  <c r="E333"/>
  <c r="G333" s="1"/>
  <c r="E376"/>
  <c r="E377"/>
  <c r="F378"/>
  <c r="E415"/>
  <c r="E416"/>
  <c r="E417"/>
  <c r="E418"/>
  <c r="F482"/>
  <c r="E501"/>
  <c r="G501" s="1"/>
  <c r="E510"/>
  <c r="E511"/>
  <c r="E512"/>
  <c r="E513"/>
  <c r="E549"/>
  <c r="E551" s="1"/>
  <c r="A635"/>
  <c r="A636" s="1"/>
  <c r="A686"/>
  <c r="A687" s="1"/>
  <c r="D686"/>
  <c r="D687" s="1"/>
  <c r="F861"/>
  <c r="F862" s="1"/>
  <c r="F934"/>
  <c r="F608"/>
  <c r="F610" s="1"/>
  <c r="E602"/>
  <c r="E608" s="1"/>
  <c r="F622"/>
  <c r="E621"/>
  <c r="E210"/>
  <c r="E212"/>
  <c r="E214"/>
  <c r="E241"/>
  <c r="G241" s="1"/>
  <c r="E243"/>
  <c r="G243" s="1"/>
  <c r="E295"/>
  <c r="G295" s="1"/>
  <c r="E371"/>
  <c r="E372"/>
  <c r="E373"/>
  <c r="E420"/>
  <c r="E421"/>
  <c r="E451"/>
  <c r="E462"/>
  <c r="E463"/>
  <c r="F656"/>
  <c r="E1016"/>
  <c r="F699"/>
  <c r="F712"/>
  <c r="F744" s="1"/>
  <c r="E958"/>
  <c r="E696"/>
  <c r="E705"/>
  <c r="E706"/>
  <c r="E707"/>
  <c r="E710"/>
  <c r="E773"/>
  <c r="E780" s="1"/>
  <c r="E951"/>
  <c r="E954"/>
  <c r="F1059"/>
  <c r="E68" i="13"/>
  <c r="E70" s="1"/>
  <c r="E97" i="26" s="1"/>
  <c r="G138" i="8" l="1"/>
  <c r="H768"/>
  <c r="I382"/>
  <c r="H388"/>
  <c r="H401" s="1"/>
  <c r="H402" s="1"/>
  <c r="I209"/>
  <c r="I217" s="1"/>
  <c r="H217"/>
  <c r="G1026"/>
  <c r="H1055"/>
  <c r="I1045"/>
  <c r="I1055" s="1"/>
  <c r="I565"/>
  <c r="I571" s="1"/>
  <c r="H571"/>
  <c r="E48"/>
  <c r="E912"/>
  <c r="A1067"/>
  <c r="A1068" s="1"/>
  <c r="G217"/>
  <c r="G48"/>
  <c r="I959"/>
  <c r="I972" s="1"/>
  <c r="I973" s="1"/>
  <c r="H30"/>
  <c r="I30" s="1"/>
  <c r="I678"/>
  <c r="I682" s="1"/>
  <c r="H682"/>
  <c r="G388"/>
  <c r="F401" s="1"/>
  <c r="F402" s="1"/>
  <c r="I388"/>
  <c r="I401" s="1"/>
  <c r="I402" s="1"/>
  <c r="H890"/>
  <c r="I890" s="1"/>
  <c r="H884"/>
  <c r="H673"/>
  <c r="I1043"/>
  <c r="E104"/>
  <c r="A280"/>
  <c r="H959"/>
  <c r="H972" s="1"/>
  <c r="H973" s="1"/>
  <c r="H1031"/>
  <c r="G237"/>
  <c r="E245"/>
  <c r="E271" s="1"/>
  <c r="G104"/>
  <c r="E892"/>
  <c r="H1043"/>
  <c r="H686"/>
  <c r="F222"/>
  <c r="F223" s="1"/>
  <c r="H243"/>
  <c r="I243" s="1"/>
  <c r="H333"/>
  <c r="I333" s="1"/>
  <c r="H237"/>
  <c r="H298"/>
  <c r="I298" s="1"/>
  <c r="H239"/>
  <c r="I239" s="1"/>
  <c r="H336"/>
  <c r="I336" s="1"/>
  <c r="I502"/>
  <c r="H306"/>
  <c r="H533"/>
  <c r="H331"/>
  <c r="H300"/>
  <c r="I300" s="1"/>
  <c r="H295"/>
  <c r="I295" s="1"/>
  <c r="H241"/>
  <c r="I241" s="1"/>
  <c r="H332"/>
  <c r="I332" s="1"/>
  <c r="H299"/>
  <c r="I299" s="1"/>
  <c r="H335"/>
  <c r="I335" s="1"/>
  <c r="H773"/>
  <c r="H780" s="1"/>
  <c r="F438"/>
  <c r="F439" s="1"/>
  <c r="I686"/>
  <c r="H204"/>
  <c r="I204" s="1"/>
  <c r="H193"/>
  <c r="I193" s="1"/>
  <c r="H162"/>
  <c r="I162" s="1"/>
  <c r="H157"/>
  <c r="I157" s="1"/>
  <c r="H1059"/>
  <c r="I1059" s="1"/>
  <c r="I1061" s="1"/>
  <c r="H205"/>
  <c r="I205" s="1"/>
  <c r="H199"/>
  <c r="H172"/>
  <c r="H148"/>
  <c r="I148" s="1"/>
  <c r="E53"/>
  <c r="G52"/>
  <c r="H28"/>
  <c r="H48" s="1"/>
  <c r="H145"/>
  <c r="I145" s="1"/>
  <c r="H83"/>
  <c r="I83" s="1"/>
  <c r="H79"/>
  <c r="I79" s="1"/>
  <c r="H21"/>
  <c r="I21" s="1"/>
  <c r="H137"/>
  <c r="I137" s="1"/>
  <c r="H135"/>
  <c r="I135" s="1"/>
  <c r="H132"/>
  <c r="I132" s="1"/>
  <c r="H130"/>
  <c r="I130" s="1"/>
  <c r="H80"/>
  <c r="I80" s="1"/>
  <c r="H84"/>
  <c r="I84" s="1"/>
  <c r="H85"/>
  <c r="I85" s="1"/>
  <c r="H82"/>
  <c r="I82" s="1"/>
  <c r="H22"/>
  <c r="I22" s="1"/>
  <c r="H136"/>
  <c r="I136" s="1"/>
  <c r="H133"/>
  <c r="I133" s="1"/>
  <c r="H131"/>
  <c r="I131" s="1"/>
  <c r="H81"/>
  <c r="I81" s="1"/>
  <c r="H18"/>
  <c r="I18" s="1"/>
  <c r="I1026"/>
  <c r="G1031"/>
  <c r="H1064"/>
  <c r="E799"/>
  <c r="E808" s="1"/>
  <c r="G798"/>
  <c r="I824"/>
  <c r="I830" s="1"/>
  <c r="H830"/>
  <c r="G831"/>
  <c r="G912"/>
  <c r="D30" i="28" s="1"/>
  <c r="H900" i="8"/>
  <c r="G934"/>
  <c r="H927"/>
  <c r="I915"/>
  <c r="I918" s="1"/>
  <c r="H918"/>
  <c r="I773"/>
  <c r="I780" s="1"/>
  <c r="G1016"/>
  <c r="G1017" s="1"/>
  <c r="I1013"/>
  <c r="I1016" s="1"/>
  <c r="I1017" s="1"/>
  <c r="H872"/>
  <c r="G880"/>
  <c r="H820"/>
  <c r="I818"/>
  <c r="I820" s="1"/>
  <c r="I831" s="1"/>
  <c r="H786"/>
  <c r="I786" s="1"/>
  <c r="G756"/>
  <c r="H755"/>
  <c r="E699"/>
  <c r="G696"/>
  <c r="G610"/>
  <c r="G611" s="1"/>
  <c r="H744"/>
  <c r="H745" s="1"/>
  <c r="I742"/>
  <c r="I744" s="1"/>
  <c r="G645"/>
  <c r="H644"/>
  <c r="H622"/>
  <c r="H636" s="1"/>
  <c r="I621"/>
  <c r="I622" s="1"/>
  <c r="I636" s="1"/>
  <c r="H589"/>
  <c r="H611" s="1"/>
  <c r="I588"/>
  <c r="I589" s="1"/>
  <c r="I611" s="1"/>
  <c r="H549"/>
  <c r="G551"/>
  <c r="H535"/>
  <c r="H536" s="1"/>
  <c r="I533"/>
  <c r="I535" s="1"/>
  <c r="E1031"/>
  <c r="F636"/>
  <c r="F491"/>
  <c r="F492" s="1"/>
  <c r="H337"/>
  <c r="I331"/>
  <c r="G412"/>
  <c r="H410"/>
  <c r="H341"/>
  <c r="G347"/>
  <c r="G328"/>
  <c r="H327"/>
  <c r="I306"/>
  <c r="I310" s="1"/>
  <c r="H310"/>
  <c r="G174"/>
  <c r="H436"/>
  <c r="H438" s="1"/>
  <c r="H302"/>
  <c r="I501"/>
  <c r="H485"/>
  <c r="G487"/>
  <c r="G453"/>
  <c r="H448"/>
  <c r="A936"/>
  <c r="A937" s="1"/>
  <c r="I436"/>
  <c r="I438" s="1"/>
  <c r="H140"/>
  <c r="I220"/>
  <c r="H206"/>
  <c r="H222" s="1"/>
  <c r="I199"/>
  <c r="I206" s="1"/>
  <c r="I172"/>
  <c r="I174" s="1"/>
  <c r="H174"/>
  <c r="I191"/>
  <c r="H196"/>
  <c r="F686"/>
  <c r="F687" s="1"/>
  <c r="F535"/>
  <c r="F536" s="1"/>
  <c r="F317"/>
  <c r="F318" s="1"/>
  <c r="I124"/>
  <c r="H88"/>
  <c r="H104" s="1"/>
  <c r="I28"/>
  <c r="I48" s="1"/>
  <c r="I68"/>
  <c r="I75" s="1"/>
  <c r="H75"/>
  <c r="G432"/>
  <c r="G378"/>
  <c r="E302"/>
  <c r="E317" s="1"/>
  <c r="E318" s="1"/>
  <c r="G959"/>
  <c r="C31" i="28" s="1"/>
  <c r="G31" s="1"/>
  <c r="I31" s="1"/>
  <c r="K31" s="1"/>
  <c r="F178" i="8"/>
  <c r="F179" s="1"/>
  <c r="E1059"/>
  <c r="G1061"/>
  <c r="F388"/>
  <c r="G337"/>
  <c r="C14" i="28" s="1"/>
  <c r="G14" s="1"/>
  <c r="I14" s="1"/>
  <c r="K14" s="1"/>
  <c r="F936" i="8"/>
  <c r="F937" s="1"/>
  <c r="G563"/>
  <c r="G302"/>
  <c r="C13" i="28" s="1"/>
  <c r="G13" s="1"/>
  <c r="I13" s="1"/>
  <c r="K13" s="1"/>
  <c r="G892" i="8"/>
  <c r="C30" i="28" s="1"/>
  <c r="F788" i="8"/>
  <c r="F789" s="1"/>
  <c r="G768"/>
  <c r="C24" i="28" s="1"/>
  <c r="F59" i="8"/>
  <c r="F60" s="1"/>
  <c r="G422"/>
  <c r="C16" i="28" s="1"/>
  <c r="G206" i="8"/>
  <c r="C11" i="28" s="1"/>
  <c r="G11" s="1"/>
  <c r="I11" s="1"/>
  <c r="K11" s="1"/>
  <c r="G656" i="8"/>
  <c r="G464"/>
  <c r="C17" i="28" s="1"/>
  <c r="G17" s="1"/>
  <c r="I17" s="1"/>
  <c r="K17" s="1"/>
  <c r="G1043" i="8"/>
  <c r="G712"/>
  <c r="G514"/>
  <c r="C18" i="28" s="1"/>
  <c r="G18" s="1"/>
  <c r="I18" s="1"/>
  <c r="K18" s="1"/>
  <c r="G86" i="8"/>
  <c r="C9" i="28" s="1"/>
  <c r="G9" s="1"/>
  <c r="I9" s="1"/>
  <c r="K9" s="1"/>
  <c r="G24" i="8"/>
  <c r="C8" i="28" s="1"/>
  <c r="E768" i="8"/>
  <c r="E788" s="1"/>
  <c r="E789" s="1"/>
  <c r="E656"/>
  <c r="E453"/>
  <c r="E622"/>
  <c r="E645"/>
  <c r="E328"/>
  <c r="E589"/>
  <c r="E217"/>
  <c r="F281"/>
  <c r="F282" s="1"/>
  <c r="E579"/>
  <c r="E436"/>
  <c r="E610"/>
  <c r="E853"/>
  <c r="E127"/>
  <c r="E936"/>
  <c r="E937" s="1"/>
  <c r="E563"/>
  <c r="E712"/>
  <c r="E464"/>
  <c r="E491" s="1"/>
  <c r="E514"/>
  <c r="F109"/>
  <c r="F114" s="1"/>
  <c r="E503"/>
  <c r="F745"/>
  <c r="E378"/>
  <c r="E1017"/>
  <c r="E422"/>
  <c r="F611"/>
  <c r="E86"/>
  <c r="E24"/>
  <c r="F1061"/>
  <c r="F1067" s="1"/>
  <c r="F1068" s="1"/>
  <c r="E1061"/>
  <c r="E174"/>
  <c r="E959"/>
  <c r="E337"/>
  <c r="E206"/>
  <c r="E169"/>
  <c r="E138"/>
  <c r="E196"/>
  <c r="G8" i="28" l="1"/>
  <c r="C43"/>
  <c r="G686" i="8"/>
  <c r="C22" i="28"/>
  <c r="C47"/>
  <c r="G16"/>
  <c r="C48"/>
  <c r="G24"/>
  <c r="G578" i="8"/>
  <c r="C19" i="28"/>
  <c r="C10"/>
  <c r="G178" i="8"/>
  <c r="G579"/>
  <c r="G744"/>
  <c r="C23" i="28"/>
  <c r="G401" i="8"/>
  <c r="G402" s="1"/>
  <c r="C15" i="28"/>
  <c r="D34"/>
  <c r="D36" s="1"/>
  <c r="D54"/>
  <c r="D57" s="1"/>
  <c r="C34"/>
  <c r="C54"/>
  <c r="G30"/>
  <c r="G245" i="8"/>
  <c r="I884"/>
  <c r="I892" s="1"/>
  <c r="H892"/>
  <c r="H1061"/>
  <c r="I302"/>
  <c r="H24"/>
  <c r="I24" s="1"/>
  <c r="H86"/>
  <c r="H138"/>
  <c r="I337"/>
  <c r="I237"/>
  <c r="H245"/>
  <c r="I138"/>
  <c r="I86"/>
  <c r="I1031"/>
  <c r="I127"/>
  <c r="I196"/>
  <c r="I503"/>
  <c r="I536" s="1"/>
  <c r="H52"/>
  <c r="G53"/>
  <c r="H1067"/>
  <c r="H1068" s="1"/>
  <c r="I1064"/>
  <c r="I1067" s="1"/>
  <c r="G1067"/>
  <c r="G1068" s="1"/>
  <c r="G972"/>
  <c r="G973" s="1"/>
  <c r="G936"/>
  <c r="G937" s="1"/>
  <c r="I872"/>
  <c r="I880" s="1"/>
  <c r="H880"/>
  <c r="H934"/>
  <c r="I927"/>
  <c r="I934" s="1"/>
  <c r="I900"/>
  <c r="I912" s="1"/>
  <c r="H912"/>
  <c r="G799"/>
  <c r="G808" s="1"/>
  <c r="H798"/>
  <c r="H831"/>
  <c r="H645"/>
  <c r="H687" s="1"/>
  <c r="I644"/>
  <c r="I645" s="1"/>
  <c r="I687" s="1"/>
  <c r="I696"/>
  <c r="I699" s="1"/>
  <c r="G699"/>
  <c r="G745" s="1"/>
  <c r="I745"/>
  <c r="I549"/>
  <c r="I551" s="1"/>
  <c r="I579" s="1"/>
  <c r="H551"/>
  <c r="H579" s="1"/>
  <c r="H756"/>
  <c r="I755"/>
  <c r="I756" s="1"/>
  <c r="G687"/>
  <c r="E492"/>
  <c r="I485"/>
  <c r="I487" s="1"/>
  <c r="I491" s="1"/>
  <c r="H487"/>
  <c r="H491" s="1"/>
  <c r="H328"/>
  <c r="I327"/>
  <c r="I328" s="1"/>
  <c r="I410"/>
  <c r="I412" s="1"/>
  <c r="I439" s="1"/>
  <c r="H412"/>
  <c r="H439" s="1"/>
  <c r="H317"/>
  <c r="H318" s="1"/>
  <c r="H453"/>
  <c r="H492" s="1"/>
  <c r="I448"/>
  <c r="I453" s="1"/>
  <c r="I492" s="1"/>
  <c r="I341"/>
  <c r="I347" s="1"/>
  <c r="I356" s="1"/>
  <c r="H347"/>
  <c r="H356" s="1"/>
  <c r="I317"/>
  <c r="I318" s="1"/>
  <c r="H223"/>
  <c r="I140"/>
  <c r="I169" s="1"/>
  <c r="H169"/>
  <c r="H178" s="1"/>
  <c r="H179" s="1"/>
  <c r="I222"/>
  <c r="I223" s="1"/>
  <c r="H109"/>
  <c r="H114" s="1"/>
  <c r="I88"/>
  <c r="G356"/>
  <c r="G357" s="1"/>
  <c r="G438"/>
  <c r="G439" s="1"/>
  <c r="E611"/>
  <c r="G317"/>
  <c r="G318" s="1"/>
  <c r="G109"/>
  <c r="G114" s="1"/>
  <c r="G535"/>
  <c r="G536" s="1"/>
  <c r="G491"/>
  <c r="G492" s="1"/>
  <c r="G179"/>
  <c r="G59"/>
  <c r="G60" s="1"/>
  <c r="G222"/>
  <c r="G223" s="1"/>
  <c r="E686"/>
  <c r="E687" s="1"/>
  <c r="E222"/>
  <c r="E223" s="1"/>
  <c r="E356"/>
  <c r="E357" s="1"/>
  <c r="E1067"/>
  <c r="E1068" s="1"/>
  <c r="E401"/>
  <c r="E402" s="1"/>
  <c r="E281"/>
  <c r="E282" s="1"/>
  <c r="E744"/>
  <c r="E745" s="1"/>
  <c r="E861"/>
  <c r="E862" s="1"/>
  <c r="E438"/>
  <c r="E439" s="1"/>
  <c r="E972"/>
  <c r="E973" s="1"/>
  <c r="E109"/>
  <c r="E114" s="1"/>
  <c r="E535"/>
  <c r="E536" s="1"/>
  <c r="E178"/>
  <c r="E179" s="1"/>
  <c r="E59"/>
  <c r="E60" s="1"/>
  <c r="C46" i="28" l="1"/>
  <c r="G19"/>
  <c r="G48"/>
  <c r="I24"/>
  <c r="I16"/>
  <c r="G47"/>
  <c r="C55"/>
  <c r="G22"/>
  <c r="G43"/>
  <c r="I8"/>
  <c r="C12"/>
  <c r="G281" i="8"/>
  <c r="G282" s="1"/>
  <c r="G15" i="28"/>
  <c r="C51"/>
  <c r="C50"/>
  <c r="G23"/>
  <c r="C44"/>
  <c r="G10"/>
  <c r="C28"/>
  <c r="C36" s="1"/>
  <c r="G54"/>
  <c r="I30"/>
  <c r="G34"/>
  <c r="H281" i="8"/>
  <c r="H282" s="1"/>
  <c r="I245"/>
  <c r="I178"/>
  <c r="I179" s="1"/>
  <c r="F107" i="26"/>
  <c r="I1068" i="8"/>
  <c r="I52"/>
  <c r="I53" s="1"/>
  <c r="H53"/>
  <c r="H59" s="1"/>
  <c r="H60" s="1"/>
  <c r="H799"/>
  <c r="H808" s="1"/>
  <c r="I798"/>
  <c r="I799" s="1"/>
  <c r="I808" s="1"/>
  <c r="I936"/>
  <c r="I937" s="1"/>
  <c r="H936"/>
  <c r="H937" s="1"/>
  <c r="H357"/>
  <c r="I357"/>
  <c r="G51" i="28" l="1"/>
  <c r="I15"/>
  <c r="G12"/>
  <c r="G28" s="1"/>
  <c r="G36" s="1"/>
  <c r="C45"/>
  <c r="C57" s="1"/>
  <c r="K16"/>
  <c r="I47"/>
  <c r="K47" s="1"/>
  <c r="G44"/>
  <c r="I10"/>
  <c r="I23"/>
  <c r="G50"/>
  <c r="I43"/>
  <c r="K43" s="1"/>
  <c r="K8"/>
  <c r="I22"/>
  <c r="G55"/>
  <c r="K24"/>
  <c r="I48"/>
  <c r="K48" s="1"/>
  <c r="G46"/>
  <c r="I19"/>
  <c r="I54"/>
  <c r="K30"/>
  <c r="K34" s="1"/>
  <c r="I34"/>
  <c r="I281" i="8"/>
  <c r="I282" s="1"/>
  <c r="F108" i="26"/>
  <c r="I90" i="8"/>
  <c r="I59"/>
  <c r="I60" s="1"/>
  <c r="K22" i="28" l="1"/>
  <c r="I55"/>
  <c r="K55" s="1"/>
  <c r="K23"/>
  <c r="I50"/>
  <c r="K50" s="1"/>
  <c r="I51"/>
  <c r="K51" s="1"/>
  <c r="K15"/>
  <c r="K19"/>
  <c r="I46"/>
  <c r="K46" s="1"/>
  <c r="I44"/>
  <c r="K44" s="1"/>
  <c r="K10"/>
  <c r="G45"/>
  <c r="G57" s="1"/>
  <c r="I12"/>
  <c r="I28" s="1"/>
  <c r="I36" s="1"/>
  <c r="K54"/>
  <c r="I104" i="8"/>
  <c r="I109" s="1"/>
  <c r="I114" s="1"/>
  <c r="I45" i="28" l="1"/>
  <c r="K12"/>
  <c r="K28" s="1"/>
  <c r="K36" s="1"/>
  <c r="E635" i="8"/>
  <c r="E636" s="1"/>
  <c r="G788"/>
  <c r="G789" s="1"/>
  <c r="H783"/>
  <c r="K45" i="28" l="1"/>
  <c r="K57" s="1"/>
  <c r="I57"/>
  <c r="I783" i="8"/>
  <c r="H784"/>
  <c r="H788" s="1"/>
  <c r="H789" s="1"/>
  <c r="I784" l="1"/>
  <c r="I788" s="1"/>
  <c r="I789" s="1"/>
</calcChain>
</file>

<file path=xl/comments1.xml><?xml version="1.0" encoding="utf-8"?>
<comments xmlns="http://schemas.openxmlformats.org/spreadsheetml/2006/main">
  <authors>
    <author>Huey Geringer</author>
  </authors>
  <commentList>
    <comment ref="F38" authorId="0">
      <text>
        <r>
          <rPr>
            <b/>
            <sz val="9"/>
            <color indexed="81"/>
            <rFont val="Tahoma"/>
            <family val="2"/>
          </rPr>
          <t>Huey Geringer:</t>
        </r>
        <r>
          <rPr>
            <sz val="9"/>
            <color indexed="81"/>
            <rFont val="Tahoma"/>
            <family val="2"/>
          </rPr>
          <t xml:space="preserve">
as per notes made by the Manager Financial Services.</t>
        </r>
      </text>
    </comment>
  </commentList>
</comments>
</file>

<file path=xl/sharedStrings.xml><?xml version="1.0" encoding="utf-8"?>
<sst xmlns="http://schemas.openxmlformats.org/spreadsheetml/2006/main" count="1887" uniqueCount="666">
  <si>
    <t>UIF</t>
  </si>
  <si>
    <t>CORPORATE SERVICES</t>
  </si>
  <si>
    <t>HUMAN RESOURCES</t>
  </si>
  <si>
    <t>PROPERTY SERVICES</t>
  </si>
  <si>
    <t>CEMETRY</t>
  </si>
  <si>
    <t>LIBRARY</t>
  </si>
  <si>
    <t>STREET LIGHTING</t>
  </si>
  <si>
    <t>Municipal Manager</t>
  </si>
  <si>
    <t>EXECUTIVE AND COUNCIL</t>
  </si>
  <si>
    <t>ABAKUS</t>
  </si>
  <si>
    <t>BUDGET</t>
  </si>
  <si>
    <t xml:space="preserve"> FOR</t>
  </si>
  <si>
    <t>VOTES</t>
  </si>
  <si>
    <t>2008/2009</t>
  </si>
  <si>
    <t>2009/2010</t>
  </si>
  <si>
    <t>2010/2011</t>
  </si>
  <si>
    <t>INCOME</t>
  </si>
  <si>
    <t>Local Govt, Support Grant</t>
  </si>
  <si>
    <t>Intergrated Development Fund</t>
  </si>
  <si>
    <t>Equitable Shares</t>
  </si>
  <si>
    <t>Provisional Grant</t>
  </si>
  <si>
    <t>Unexpended ES Grants</t>
  </si>
  <si>
    <t>EXPENDITURE</t>
  </si>
  <si>
    <t>SALARIES,WAGES AND ALLOWANCES</t>
  </si>
  <si>
    <t>Councillors Allowances</t>
  </si>
  <si>
    <t>Councillors Pension Fund</t>
  </si>
  <si>
    <t>Councillors Medical Aid</t>
  </si>
  <si>
    <t>Councillors Car Allowances</t>
  </si>
  <si>
    <t>Telephone Allowances</t>
  </si>
  <si>
    <t>Housing Subsidy</t>
  </si>
  <si>
    <t>MISCELLANEOUS EXPENSES</t>
  </si>
  <si>
    <t>Catering/Refreshments</t>
  </si>
  <si>
    <t>Insurance: General</t>
  </si>
  <si>
    <t>Workmens Compensation</t>
  </si>
  <si>
    <t>Kwanaloga Games</t>
  </si>
  <si>
    <t>Ward Committees</t>
  </si>
  <si>
    <t>Mayoral Expenses</t>
  </si>
  <si>
    <t>Printing &amp; Stationery</t>
  </si>
  <si>
    <t>Subscriptions (Salga)</t>
  </si>
  <si>
    <t>Office Expenses</t>
  </si>
  <si>
    <t>Travelling Expenses</t>
  </si>
  <si>
    <t>REPAIRS &amp; MAINTENANCE</t>
  </si>
  <si>
    <t>Transport</t>
  </si>
  <si>
    <t>Furniture &amp; Equipment</t>
  </si>
  <si>
    <t>DEPRICIATION</t>
  </si>
  <si>
    <t>Depreciation on Assets</t>
  </si>
  <si>
    <t>TOTAL EXPENDITURE</t>
  </si>
  <si>
    <t>Electricity Supply Fund</t>
  </si>
  <si>
    <t>NETT AMOUNT</t>
  </si>
  <si>
    <t>OFFICE OF THE MUNICIPAL MANAGER</t>
  </si>
  <si>
    <t>01/01/A1/10</t>
  </si>
  <si>
    <t>Equitable Share</t>
  </si>
  <si>
    <t>Planning &amp; Capacity Building</t>
  </si>
  <si>
    <t>Performance Management System</t>
  </si>
  <si>
    <t xml:space="preserve">Salaries </t>
  </si>
  <si>
    <t>Medical Aid Contributions</t>
  </si>
  <si>
    <t>Pension Fund Contributions</t>
  </si>
  <si>
    <t>Travelling Allowances</t>
  </si>
  <si>
    <t>Uniforms &amp; Protective Clothing</t>
  </si>
  <si>
    <t>Housing Susbidy</t>
  </si>
  <si>
    <t>Burgaining Council Levies</t>
  </si>
  <si>
    <t>Unemployment Fund</t>
  </si>
  <si>
    <t>Skills Development Levy</t>
  </si>
  <si>
    <t>Telephone</t>
  </si>
  <si>
    <t>Cell phone Allowances</t>
  </si>
  <si>
    <t>Accrued Leave</t>
  </si>
  <si>
    <t>Conferences &amp; Seminars</t>
  </si>
  <si>
    <t>DEPRECIATION</t>
  </si>
  <si>
    <t>Depreciation of Assets</t>
  </si>
  <si>
    <t>REPAIRS AND MAINTENANCE</t>
  </si>
  <si>
    <t>Office Equipment</t>
  </si>
  <si>
    <t>LESS : ADMIN CHARGES RECOVERED</t>
  </si>
  <si>
    <t>ADJUSTED</t>
  </si>
  <si>
    <t>APPROVED</t>
  </si>
  <si>
    <t>BUDGET &amp; TREASURY OFFICE</t>
  </si>
  <si>
    <t>01/01/A3/05</t>
  </si>
  <si>
    <t>MAP</t>
  </si>
  <si>
    <t>MFMA Implementation</t>
  </si>
  <si>
    <t>FMG Grant</t>
  </si>
  <si>
    <t>Interest on Investments</t>
  </si>
  <si>
    <t>Equitable Share Grant</t>
  </si>
  <si>
    <t>Salaries and Allowances</t>
  </si>
  <si>
    <t>Medical Aid Contribution</t>
  </si>
  <si>
    <t>Overtime &amp; Standby</t>
  </si>
  <si>
    <t>Pension Fund contributions</t>
  </si>
  <si>
    <t>Allowances</t>
  </si>
  <si>
    <t>Bargaining Council Levies</t>
  </si>
  <si>
    <t>Bank Charges</t>
  </si>
  <si>
    <t>Write offs</t>
  </si>
  <si>
    <t>Fixed Asset Register</t>
  </si>
  <si>
    <t>Insurance</t>
  </si>
  <si>
    <t>Internal Audit(Ugu)</t>
  </si>
  <si>
    <t>Lease : Office Equipment</t>
  </si>
  <si>
    <t>Postage</t>
  </si>
  <si>
    <t>Printing and Stationery</t>
  </si>
  <si>
    <t>Proffessional Fees Accounting</t>
  </si>
  <si>
    <t>Removal Expenses</t>
  </si>
  <si>
    <t>Security</t>
  </si>
  <si>
    <t>Rental of Offices</t>
  </si>
  <si>
    <t>Stores &amp; Materials</t>
  </si>
  <si>
    <t>Cell Phone Allowance</t>
  </si>
  <si>
    <t>Audit Fees</t>
  </si>
  <si>
    <t>MFMA</t>
  </si>
  <si>
    <t>Buildings</t>
  </si>
  <si>
    <t>01/01/A3/10</t>
  </si>
  <si>
    <t>Collection Charges</t>
  </si>
  <si>
    <t>Penalties Interest</t>
  </si>
  <si>
    <t>Valuation Roll</t>
  </si>
  <si>
    <t>Kiosk Rentals</t>
  </si>
  <si>
    <t>Rents : Staff Houses</t>
  </si>
  <si>
    <t>Sundry Income</t>
  </si>
  <si>
    <t>Rates Certificates</t>
  </si>
  <si>
    <t>Lease Farm Lots</t>
  </si>
  <si>
    <t>Rates Assessment</t>
  </si>
  <si>
    <t>Salaries</t>
  </si>
  <si>
    <t>Pension Fund Contribution</t>
  </si>
  <si>
    <t>Medical Aid</t>
  </si>
  <si>
    <t>Bargaining Council</t>
  </si>
  <si>
    <t>Insurance - UIF</t>
  </si>
  <si>
    <t>01/01/A3/30</t>
  </si>
  <si>
    <t>PMS Grant</t>
  </si>
  <si>
    <t>Advertising</t>
  </si>
  <si>
    <t>Legal Expenses</t>
  </si>
  <si>
    <t>Proffessional Fees : Other</t>
  </si>
  <si>
    <t>Corporate Marketing</t>
  </si>
  <si>
    <t>Training &amp; Skills Development</t>
  </si>
  <si>
    <t>Workplace Skills Plan C64</t>
  </si>
  <si>
    <t>Employment Assistance Programme</t>
  </si>
  <si>
    <t>PMS</t>
  </si>
  <si>
    <t xml:space="preserve">DEPRECIATION </t>
  </si>
  <si>
    <t>NET AMOUNT</t>
  </si>
  <si>
    <t>01/01/A3/40</t>
  </si>
  <si>
    <t>Human Resources</t>
  </si>
  <si>
    <t>Overtime</t>
  </si>
  <si>
    <t>INFORMATION TECHNOLOGY</t>
  </si>
  <si>
    <t>01/01/A3/50</t>
  </si>
  <si>
    <t>IS Support Grant (MAP)</t>
  </si>
  <si>
    <t>Equitable Share: Inter-Dept Monitoring</t>
  </si>
  <si>
    <t>Internet &amp; Websites Expenses</t>
  </si>
  <si>
    <t>Switchboard Rental</t>
  </si>
  <si>
    <t>Licence Fee</t>
  </si>
  <si>
    <t xml:space="preserve">IS Support </t>
  </si>
  <si>
    <t>Computers</t>
  </si>
  <si>
    <t>HEALTH</t>
  </si>
  <si>
    <t>01/01/A6/10</t>
  </si>
  <si>
    <t>Susbidy</t>
  </si>
  <si>
    <t>Services - Electricity</t>
  </si>
  <si>
    <t>Services - Water</t>
  </si>
  <si>
    <t>Surgical Supplies</t>
  </si>
  <si>
    <t>Tools &amp; Equipment</t>
  </si>
  <si>
    <t>Clinic Building</t>
  </si>
  <si>
    <t>Fuel and Oil</t>
  </si>
  <si>
    <t>Burial Fees</t>
  </si>
  <si>
    <t>Insurance: D.C. Levies</t>
  </si>
  <si>
    <t>Workmans Compensation</t>
  </si>
  <si>
    <t>Services: Water</t>
  </si>
  <si>
    <t>Plant &amp; Equipment</t>
  </si>
  <si>
    <t>Buildings &amp; Grave Sites</t>
  </si>
  <si>
    <t>Fines</t>
  </si>
  <si>
    <t>Lost books</t>
  </si>
  <si>
    <t>Hire of Activity room</t>
  </si>
  <si>
    <t>Library Services Grant</t>
  </si>
  <si>
    <t>Salaries and allowances</t>
  </si>
  <si>
    <t>Medical Aid contribution</t>
  </si>
  <si>
    <t>Workman Compensation</t>
  </si>
  <si>
    <t>Leasing (Photo Copier)</t>
  </si>
  <si>
    <t>Lost Books - Replacement</t>
  </si>
  <si>
    <t>Services: Electricity</t>
  </si>
  <si>
    <t>Stores and Material</t>
  </si>
  <si>
    <t>Subscriptions (Newspapers)</t>
  </si>
  <si>
    <t>Sita Pals</t>
  </si>
  <si>
    <t xml:space="preserve">Office Equipment </t>
  </si>
  <si>
    <t>COMMUNITY HALLS &amp; FACILITIES</t>
  </si>
  <si>
    <t>01/01/A9/30</t>
  </si>
  <si>
    <t>Hire of Town Hall</t>
  </si>
  <si>
    <t>Rural Community Facilities</t>
  </si>
  <si>
    <t>Equipment</t>
  </si>
  <si>
    <t>TECHNICAL SERVICES</t>
  </si>
  <si>
    <t>01/01/B1/10</t>
  </si>
  <si>
    <t>Planning Capacity Building Grant</t>
  </si>
  <si>
    <t>Buildin plan Fees</t>
  </si>
  <si>
    <t>IDP</t>
  </si>
  <si>
    <t>Pension fund contribution</t>
  </si>
  <si>
    <t>Unemployment Insurance Fund</t>
  </si>
  <si>
    <t>Skills development Levy</t>
  </si>
  <si>
    <t>Cell phone Allowance</t>
  </si>
  <si>
    <t>PLAN &amp; DEV: TOURISM</t>
  </si>
  <si>
    <t>01/041/B1/30</t>
  </si>
  <si>
    <t>Contribution to Ugu</t>
  </si>
  <si>
    <t>LED Fund</t>
  </si>
  <si>
    <t>PUBLIC SAFETY: DISASTER MANAGEMENT</t>
  </si>
  <si>
    <t>01/01/B3/30</t>
  </si>
  <si>
    <t>Fire Protective Clothing</t>
  </si>
  <si>
    <t>Disaster Management</t>
  </si>
  <si>
    <t>ROAD TRANSPORT</t>
  </si>
  <si>
    <t>01/01/B6/10</t>
  </si>
  <si>
    <t>Fire Control</t>
  </si>
  <si>
    <t>Grass Cutting</t>
  </si>
  <si>
    <t>Radio Communications</t>
  </si>
  <si>
    <t>Stores &amp; Material</t>
  </si>
  <si>
    <t>Tools and Equipment</t>
  </si>
  <si>
    <t>Culverts and Drains</t>
  </si>
  <si>
    <t>Plant and Equipment</t>
  </si>
  <si>
    <t>Pavements and Kepting</t>
  </si>
  <si>
    <t>Roads and Streets</t>
  </si>
  <si>
    <t>Traffic Marking</t>
  </si>
  <si>
    <t>ROAD TRANSPORT: VEHICLE LICENSING &amp; TESTING</t>
  </si>
  <si>
    <t>01/01/B6/20</t>
  </si>
  <si>
    <t xml:space="preserve">Vehicle Licensing </t>
  </si>
  <si>
    <t>Testing Centre Income</t>
  </si>
  <si>
    <t>Leasing: Photo Copier</t>
  </si>
  <si>
    <t>Leasing of Vehicles</t>
  </si>
  <si>
    <t>Services: Refuse</t>
  </si>
  <si>
    <t>Testing grounds</t>
  </si>
  <si>
    <t>Depreciation on assets</t>
  </si>
  <si>
    <t>SPORT &amp; RECREATION: PARKS &amp; GARDENS</t>
  </si>
  <si>
    <t>01/01/B9/10</t>
  </si>
  <si>
    <t>Housing Susbsidy</t>
  </si>
  <si>
    <t>Fertizer, Seeds and Plants</t>
  </si>
  <si>
    <t>Worksmens Compensation</t>
  </si>
  <si>
    <t>Services : Water</t>
  </si>
  <si>
    <t>Mowers</t>
  </si>
  <si>
    <t>SPORT &amp; REC: SPORT GROUNDS &amp; STADIUMS</t>
  </si>
  <si>
    <t>01/01/B9/20</t>
  </si>
  <si>
    <t>Hire of Stadiums</t>
  </si>
  <si>
    <t>Stadium &amp; Buildings</t>
  </si>
  <si>
    <t>FORESTRY</t>
  </si>
  <si>
    <t>01/01/C1/10</t>
  </si>
  <si>
    <t>Rentals: Timber</t>
  </si>
  <si>
    <t>Sale of Timber</t>
  </si>
  <si>
    <t>DEPRECITION</t>
  </si>
  <si>
    <t>WORKSHOPS</t>
  </si>
  <si>
    <t>Services : Electricity</t>
  </si>
  <si>
    <t>ELECTRICITY: DISTRIBTION</t>
  </si>
  <si>
    <t>01/10/C6/10</t>
  </si>
  <si>
    <t>New Connection</t>
  </si>
  <si>
    <t>Grant Free Basic - Electricity</t>
  </si>
  <si>
    <t>Grant Free Basic Services</t>
  </si>
  <si>
    <t>Sale of Electricity -Private Consumers</t>
  </si>
  <si>
    <t>Cash-Power - Domestic &amp; Commercial</t>
  </si>
  <si>
    <t>Bad debts</t>
  </si>
  <si>
    <t>Leasing</t>
  </si>
  <si>
    <t>Mains</t>
  </si>
  <si>
    <t>Sub- Stations</t>
  </si>
  <si>
    <t>CAPITAL CHARGES</t>
  </si>
  <si>
    <t>External loans: Interest</t>
  </si>
  <si>
    <t>External loans: Redemptions</t>
  </si>
  <si>
    <t>Purchase of Current</t>
  </si>
  <si>
    <t>Basic Charge</t>
  </si>
  <si>
    <t>Electricity- Boreholes</t>
  </si>
  <si>
    <t>Demand Charge - KVA</t>
  </si>
  <si>
    <t>Electricity - Airfield</t>
  </si>
  <si>
    <t>KwH - Unit Charges</t>
  </si>
  <si>
    <t>Standard Connection Charge</t>
  </si>
  <si>
    <t>Transmission Charge</t>
  </si>
  <si>
    <t>ELECTRICITY: STREET LIGHTING</t>
  </si>
  <si>
    <t>01/01/C6/20</t>
  </si>
  <si>
    <t>Street Lignting</t>
  </si>
  <si>
    <t>HOUSING SCHEMES</t>
  </si>
  <si>
    <t>01/20/C9/10</t>
  </si>
  <si>
    <t>Rental Income</t>
  </si>
  <si>
    <t>Disaster Relief</t>
  </si>
  <si>
    <t>Town Planning</t>
  </si>
  <si>
    <t>WASTE MANAGEMET: SOLID WASTE</t>
  </si>
  <si>
    <t>01/40/C3/10</t>
  </si>
  <si>
    <t>Refuse removal fees</t>
  </si>
  <si>
    <t>Equitable Share (Indigent Support)</t>
  </si>
  <si>
    <t>Equitable Share (S Grant)</t>
  </si>
  <si>
    <t>EH - Subsidy</t>
  </si>
  <si>
    <t>Indigent Support</t>
  </si>
  <si>
    <t>Land fill Site</t>
  </si>
  <si>
    <t>Depriciation of Assets</t>
  </si>
  <si>
    <t>2011/2012</t>
  </si>
  <si>
    <t>ESTIMATE 2009/2010</t>
  </si>
  <si>
    <t>HOUSING</t>
  </si>
  <si>
    <t>Youth Programs</t>
  </si>
  <si>
    <t>Fuel</t>
  </si>
  <si>
    <t>Fuel &amp; Oil</t>
  </si>
  <si>
    <t>EAP</t>
  </si>
  <si>
    <t xml:space="preserve">Materials </t>
  </si>
  <si>
    <t>DISASTER MANAGEMENT</t>
  </si>
  <si>
    <t>Housing</t>
  </si>
  <si>
    <t>Health</t>
  </si>
  <si>
    <t>Rates Clearance Certificate</t>
  </si>
  <si>
    <t>YEAR</t>
  </si>
  <si>
    <t>2012/2013</t>
  </si>
  <si>
    <t>EXECUTIVE &amp; COUNCIL</t>
  </si>
  <si>
    <t>FINANCIAL SERVICES</t>
  </si>
  <si>
    <t>MIG</t>
  </si>
  <si>
    <t>FURNITURE &amp; EQUIPMENT</t>
  </si>
  <si>
    <t>ADMINISTRATION</t>
  </si>
  <si>
    <t>FURNITURE AND FITTINGS</t>
  </si>
  <si>
    <t>COMPUTER REPLACEMENT</t>
  </si>
  <si>
    <t>TOWN HALL &amp; OFFICES</t>
  </si>
  <si>
    <t xml:space="preserve">FURNITURE AND FITTINGS </t>
  </si>
  <si>
    <t>FURNITURE AND FITTINGS : TABLES &amp; CHAIRS</t>
  </si>
  <si>
    <t>PROTECTION SERVICES</t>
  </si>
  <si>
    <t>FIRE FIGHTING EQUIPMENT</t>
  </si>
  <si>
    <t>TESTING STATION</t>
  </si>
  <si>
    <t xml:space="preserve">OFFICE FURNITURE </t>
  </si>
  <si>
    <t>PINTERS x2 (SMALL LINE PRINTERS):</t>
  </si>
  <si>
    <t>CASH POWER UPGRADE</t>
  </si>
  <si>
    <t>DOCUMENT BINDER (TENDER DOCUMENTS)</t>
  </si>
  <si>
    <t>AUTOCAD UPGRADE</t>
  </si>
  <si>
    <t>ROADS &amp; STREETS</t>
  </si>
  <si>
    <t>STORM WATER MANAGEMENT</t>
  </si>
  <si>
    <t>PLANT &amp; EQUIPMENT</t>
  </si>
  <si>
    <t>TRAFFIC LIGHTS</t>
  </si>
  <si>
    <t>WASTE MANAGEMENT ( REFUSE REMOVAL)</t>
  </si>
  <si>
    <t>REFUSE TRUCK</t>
  </si>
  <si>
    <t>TRACTOR &amp; TRAILER</t>
  </si>
  <si>
    <t>SKIP HOST TRAILER</t>
  </si>
  <si>
    <t>SKIDS/ BINS</t>
  </si>
  <si>
    <t>ELECTRICITY</t>
  </si>
  <si>
    <t>UPGRADE OF ELECTRICITY INFRASTRUCTURE</t>
  </si>
  <si>
    <t>VOTE</t>
  </si>
  <si>
    <t>Uniform &amp; Protective Clothing</t>
  </si>
  <si>
    <t>Cleaning Material</t>
  </si>
  <si>
    <t>2013/2014</t>
  </si>
  <si>
    <t>MSIG</t>
  </si>
  <si>
    <t>Dept Agriculture &amp; Environmental Affairs</t>
  </si>
  <si>
    <t>DBSA- Storm Water Drainange</t>
  </si>
  <si>
    <t>DLGTA</t>
  </si>
  <si>
    <t>DED</t>
  </si>
  <si>
    <t>Strategic Envirnmental Assessment</t>
  </si>
  <si>
    <t>Storm Water Drainage</t>
  </si>
  <si>
    <t>Infrastructure Master Plan</t>
  </si>
  <si>
    <t>Informal Traders Business Plan</t>
  </si>
  <si>
    <t>FMG</t>
  </si>
  <si>
    <t>Refreshments &amp; Catering</t>
  </si>
  <si>
    <t>Refreshments  &amp; Catering</t>
  </si>
  <si>
    <t>Indigents Rebates</t>
  </si>
  <si>
    <t>EXTENSION OF TESTING STATION</t>
  </si>
  <si>
    <t>RURAL ROADS UPGRADE</t>
  </si>
  <si>
    <t>ELECTRICITY MAST</t>
  </si>
  <si>
    <t>GRADER</t>
  </si>
  <si>
    <t>COMPUTER</t>
  </si>
  <si>
    <t>HOUSING PROJECTS</t>
  </si>
  <si>
    <t>UMUZIWABANTU 5 YEAR  CAPITAL BUDGET</t>
  </si>
  <si>
    <t>SALARIES</t>
  </si>
  <si>
    <t>Information Technology</t>
  </si>
  <si>
    <t>Waste Management</t>
  </si>
  <si>
    <t>(Exl Vat)</t>
  </si>
  <si>
    <t xml:space="preserve">General Functions including weddings, concerts, contests, dances, exhibitions, tournaments </t>
  </si>
  <si>
    <t>Rural Halls</t>
  </si>
  <si>
    <t>Use of Kitchen</t>
  </si>
  <si>
    <t>Small Hall</t>
  </si>
  <si>
    <t>Any Other</t>
  </si>
  <si>
    <t>Profit - Organisation</t>
  </si>
  <si>
    <t>Deposit</t>
  </si>
  <si>
    <t>Grave Lot plus burial fee (Adult)</t>
  </si>
  <si>
    <t>Grave Lot plus burial fee (Child&lt;12)</t>
  </si>
  <si>
    <t>Grave Reservation</t>
  </si>
  <si>
    <t>Opening of grave for exhumation</t>
  </si>
  <si>
    <t>By laws or Policies per copy</t>
  </si>
  <si>
    <t>Extracts per page</t>
  </si>
  <si>
    <t>Clearing of Vacant Plots</t>
  </si>
  <si>
    <t>Overdue Library material excluding videos</t>
  </si>
  <si>
    <t>Overdue Video material</t>
  </si>
  <si>
    <t>Lost patron card</t>
  </si>
  <si>
    <t>A4 Photocopy</t>
  </si>
  <si>
    <t>A3 Photocopy</t>
  </si>
  <si>
    <t>Print copy from computers</t>
  </si>
  <si>
    <t xml:space="preserve">Price of </t>
  </si>
  <si>
    <t xml:space="preserve"> books</t>
  </si>
  <si>
    <t xml:space="preserve">Domestic </t>
  </si>
  <si>
    <t>Domestic additional clearance</t>
  </si>
  <si>
    <t>Additional clearance(Commercial)</t>
  </si>
  <si>
    <t>Industrial premises</t>
  </si>
  <si>
    <t>Additional clearance (Industrials0</t>
  </si>
  <si>
    <t>Government Properties(Schools, PO,SAP,SAR)</t>
  </si>
  <si>
    <t>Additional Clearance (Gov prop)</t>
  </si>
  <si>
    <t>St Andrews Hospital</t>
  </si>
  <si>
    <t>Additional clearance (Hospital)</t>
  </si>
  <si>
    <t>Churches</t>
  </si>
  <si>
    <t>Sport Clubs</t>
  </si>
  <si>
    <t>TOWN PLANNING</t>
  </si>
  <si>
    <t>R100 per day maximum R1500</t>
  </si>
  <si>
    <t>Failing to comply with notice prohibiting erection of a building</t>
  </si>
  <si>
    <t>Occupying a building prior to issue of certificate by local authority</t>
  </si>
  <si>
    <t>Hinders or obstructs any building officer etc</t>
  </si>
  <si>
    <t>Failing to maintain any mechanical equipment or service installation in connection with a building condition</t>
  </si>
  <si>
    <t xml:space="preserve">Failing to comply with Notice to comply with Regulation </t>
  </si>
  <si>
    <t>Failing to comply with Notice to Evacuate Building</t>
  </si>
  <si>
    <t>Perform trade of plumbing without being trained plumber, etc</t>
  </si>
  <si>
    <t>Carry out of plumbing work by a person other than a trained plumber , or exempted person</t>
  </si>
  <si>
    <t>Trained plumber causes or permits non trained plumber to practice the trade of plumbing etc.</t>
  </si>
  <si>
    <t xml:space="preserve">No notice given of intension to erect or demolish a building </t>
  </si>
  <si>
    <t>No notice given that trenches/ drains are ready for</t>
  </si>
  <si>
    <t>inspection</t>
  </si>
  <si>
    <t>Construction of foundation before approval of trenches and excavations</t>
  </si>
  <si>
    <t>Owner backfills or enclose drainage installation before inspection, testing and approval</t>
  </si>
  <si>
    <t>Using of building for purpose other than the purpose which causes in the class of occupancy</t>
  </si>
  <si>
    <t>Deviates from approved plan</t>
  </si>
  <si>
    <t>Fails to cease work after notification of Council to do so</t>
  </si>
  <si>
    <t>Fails to comply with Notice to Erect building in accordance with regulation</t>
  </si>
  <si>
    <t>Failing to provide protection of the edge of any balcony , bridge , flat roof or similar place</t>
  </si>
  <si>
    <t>Access to swimming pool not controlled</t>
  </si>
  <si>
    <t xml:space="preserve">Demolishing a building without  permission from Local Authority </t>
  </si>
  <si>
    <t>Leaving a building in cause of demolition in a state dangerous to the public or any adjoining property</t>
  </si>
  <si>
    <t>Fail to erect a fence , hoarding or barricade</t>
  </si>
  <si>
    <t>R750,1000</t>
  </si>
  <si>
    <t>Fail to confine any work of erection or demolition within boundaries of site</t>
  </si>
  <si>
    <t>Construct any pit latrine without the permission of Local Authority</t>
  </si>
  <si>
    <t>Fail to provide sufficient fire extinguishers, etc</t>
  </si>
  <si>
    <t>Cause or permit any escape route to be rendered less effective, etc</t>
  </si>
  <si>
    <t>Special consent</t>
  </si>
  <si>
    <t>Subdivision of land</t>
  </si>
  <si>
    <t>Amendment to existing subdivision</t>
  </si>
  <si>
    <t>Rezoning</t>
  </si>
  <si>
    <t>Fail to observe conditions imposed to local authority</t>
  </si>
  <si>
    <t>Fail to limit dust arising from work etc.</t>
  </si>
  <si>
    <t>Carry on any activity etc. During periods which may disturb etc.</t>
  </si>
  <si>
    <t>Failing to comply with a notice to cut into or lay open work or to carry out tests.</t>
  </si>
  <si>
    <t>Failing to comply with a notice to remove rubble, rubbish and/or debris from a building site</t>
  </si>
  <si>
    <t>Failing to comply with a notice to remove surplus material and matter from the site or land or public street or arising from building or demolition work</t>
  </si>
  <si>
    <t>Erecting or demolishing a building without proving sanitary facilities for employees</t>
  </si>
  <si>
    <t>Fail to maintain open exaction in a safe condition</t>
  </si>
  <si>
    <t>Fail to provide drainage installation</t>
  </si>
  <si>
    <t>Fail to lay, alter or extend any drain etc</t>
  </si>
  <si>
    <t>Permit sewage to enter any street</t>
  </si>
  <si>
    <t>Permit sewage to enter any river etc</t>
  </si>
  <si>
    <t>Cause or permit storm water to enter any drainage installation on any site.</t>
  </si>
  <si>
    <t>Discharge or cause discharge of any water from a swimming pool etc. Or any public street etc.</t>
  </si>
  <si>
    <t>Construct an installation contemplated in regulation P4.1 (liquid or solid matter requiring treatment/storage)</t>
  </si>
  <si>
    <t>Fail to seal opening to pipe or drain etc.</t>
  </si>
  <si>
    <t>Fail to seal opening permanently disconnected drain.</t>
  </si>
  <si>
    <t>Fail to notify the municipality of disconnecting of any drainage installation</t>
  </si>
  <si>
    <t>INDUSTRIAL/COMMERCIAL</t>
  </si>
  <si>
    <t>Interfere with any sewer or connecting sewer</t>
  </si>
  <si>
    <t>Fail to notify municipality of disconnecting of any drainage installation</t>
  </si>
  <si>
    <t>Break into or interfere with any drainage installation etc.</t>
  </si>
  <si>
    <t>Put into use any drainage installation before inspection etc</t>
  </si>
  <si>
    <t>Construct any pit latrine without the permission of the municipality</t>
  </si>
  <si>
    <t>Fail to provide sufficient fire extinguishers etc</t>
  </si>
  <si>
    <t>Cause or permit any escape route to be rendered less effective etc.</t>
  </si>
  <si>
    <t>Domestic - consumption</t>
  </si>
  <si>
    <t>Office - consumption</t>
  </si>
  <si>
    <t>Comm./Small power user - consumption</t>
  </si>
  <si>
    <t>Comm./Large user (0-50) - consumption</t>
  </si>
  <si>
    <t>Comm./Large user (51-75) - consumption</t>
  </si>
  <si>
    <t>Comm./Large user (76-100) - consumption</t>
  </si>
  <si>
    <t>Prepaid Domestic/business</t>
  </si>
  <si>
    <t>RATES</t>
  </si>
  <si>
    <t>Residential</t>
  </si>
  <si>
    <t>Commercial</t>
  </si>
  <si>
    <t>Agriculture</t>
  </si>
  <si>
    <t>PSI &amp; State Owned</t>
  </si>
  <si>
    <t>Communal Land</t>
  </si>
  <si>
    <t>Deposit – Town Hall</t>
  </si>
  <si>
    <t>Deposit – Rural Halls</t>
  </si>
  <si>
    <t>Deposit – Small Hall</t>
  </si>
  <si>
    <t>Non –Profit Organisation</t>
  </si>
  <si>
    <t>Search fee per account, documents’ or file produced for inspection or duplicate accounts made out</t>
  </si>
  <si>
    <t>Certified copy of extract from Council’s minutes and or hearing per page</t>
  </si>
  <si>
    <t>Libraries activities room – Full day</t>
  </si>
  <si>
    <t>Libraries activities room – Half day</t>
  </si>
  <si>
    <t xml:space="preserve">Commercial – Small business </t>
  </si>
  <si>
    <t>Commercial – Office premises</t>
  </si>
  <si>
    <t xml:space="preserve">Commercial – Large business </t>
  </si>
  <si>
    <t>Erecting a building prior to local authority’s approval</t>
  </si>
  <si>
    <t>Domestic – basic charge</t>
  </si>
  <si>
    <t>Office – basic charge</t>
  </si>
  <si>
    <t>Comm./Small power user – basic charge</t>
  </si>
  <si>
    <t>Comm./Large user(0-50) – basic charge</t>
  </si>
  <si>
    <t>Comm./Large user(51-75) – basic charge</t>
  </si>
  <si>
    <t>Comm./Large user(76-100) – basic charge</t>
  </si>
  <si>
    <t>Public Service Infrastructure</t>
  </si>
  <si>
    <t>750,1000,1,500</t>
  </si>
  <si>
    <t>ACTUAL</t>
  </si>
  <si>
    <t>YTD</t>
  </si>
  <si>
    <t>DOZER</t>
  </si>
  <si>
    <t>GRASS CUTTING EQUIPMENT</t>
  </si>
  <si>
    <t>REVISED</t>
  </si>
  <si>
    <t>SMALL TOWN REHABILITATION</t>
  </si>
  <si>
    <t xml:space="preserve">CAPITAL </t>
  </si>
  <si>
    <t>VIOLENCE DAMAGED HOUSING</t>
  </si>
  <si>
    <t>RECREATIONAL PARK</t>
  </si>
  <si>
    <t>-</t>
  </si>
  <si>
    <t>Back to School Assistance</t>
  </si>
  <si>
    <t>Cost of Free Basic Electricity</t>
  </si>
  <si>
    <t>Cost of Free Basic Services</t>
  </si>
  <si>
    <t>Overtime &amp; standby</t>
  </si>
  <si>
    <t>Allowaances</t>
  </si>
  <si>
    <t>Car Trecker</t>
  </si>
  <si>
    <t>UPGRADE OF THE DUMPSITE</t>
  </si>
  <si>
    <t>MURCHISON</t>
  </si>
  <si>
    <t>HAWKINS</t>
  </si>
  <si>
    <t>01/01/A1/05</t>
  </si>
  <si>
    <t>01/01/A9/10</t>
  </si>
  <si>
    <t>0180A330</t>
  </si>
  <si>
    <t>0180A105</t>
  </si>
  <si>
    <t>0180A930</t>
  </si>
  <si>
    <t>0180A305</t>
  </si>
  <si>
    <t>01/01/A9/20/</t>
  </si>
  <si>
    <t>01/01/C1/20</t>
  </si>
  <si>
    <t>Sports Development</t>
  </si>
  <si>
    <t>DRAFT</t>
  </si>
  <si>
    <t>FOR</t>
  </si>
  <si>
    <t xml:space="preserve">Transport </t>
  </si>
  <si>
    <t xml:space="preserve">FOR </t>
  </si>
  <si>
    <t>EQUIPMENT</t>
  </si>
  <si>
    <t>Planning (Shared Services)</t>
  </si>
  <si>
    <t>Fire fighting (Shared Services)</t>
  </si>
  <si>
    <t>Job Evaluation</t>
  </si>
  <si>
    <t>Special Programes - HIV /AIDS</t>
  </si>
  <si>
    <t>Special Programs- Disability</t>
  </si>
  <si>
    <t>Special Programmes - Arts &amp; Culture</t>
  </si>
  <si>
    <t>Special Programmes - Senior Citezens</t>
  </si>
  <si>
    <t>Special Programmes - Gender</t>
  </si>
  <si>
    <t>REVISED 2009/2010 CAPITAL BUDGET/TECHNICAL SRVICES</t>
  </si>
  <si>
    <t>2014 /2015</t>
  </si>
  <si>
    <t xml:space="preserve">TRAFFIC /LICENSING OFFICE  </t>
  </si>
  <si>
    <t>BREATHELYSERS x3</t>
  </si>
  <si>
    <t>BIOMETRIC SECURITY SYSTEM entire</t>
  </si>
  <si>
    <t>2X4 Bakkie 2 lwith steel canopy x1</t>
  </si>
  <si>
    <t>TECHNICAL CIVIL / ADMIN</t>
  </si>
  <si>
    <t>TLB</t>
  </si>
  <si>
    <t>LOW BED &amp; TRAILER</t>
  </si>
  <si>
    <t>TRACTOR (WET CLUTCH)</t>
  </si>
  <si>
    <t>TIPPER TRUCK X 2 10T</t>
  </si>
  <si>
    <t>EXCAVATOR</t>
  </si>
  <si>
    <t>ROLLER SMOOTH WHEEL WATER CART</t>
  </si>
  <si>
    <t>2014/2015</t>
  </si>
  <si>
    <t>COMPUTERS</t>
  </si>
  <si>
    <t>COMPUTER SERVER</t>
  </si>
  <si>
    <t>BURGLARING</t>
  </si>
  <si>
    <t xml:space="preserve">COMPUTER </t>
  </si>
  <si>
    <t>UPGRADE OF MUNICIPAL COMPOUNDS</t>
  </si>
  <si>
    <t>2009/2010 CAPITAL BUDGET</t>
  </si>
  <si>
    <t>4X4 BAKKIE WITH CANOPY AND EMERGENCY LIGHTS</t>
  </si>
  <si>
    <t>WRACKER</t>
  </si>
  <si>
    <t>ELECTRICATION (ESKOM)</t>
  </si>
  <si>
    <t>DRAGER MACHINE 1</t>
  </si>
  <si>
    <t>EMERGENCY COMMUNICATION CENTRE</t>
  </si>
  <si>
    <t>GUNS</t>
  </si>
  <si>
    <t>1 PRO LASER SPEED MACH</t>
  </si>
  <si>
    <t>DISASTER MANAGEMENT BUILDING UPGRADE</t>
  </si>
  <si>
    <t>EXTENSION OF THE TESTING GROUND</t>
  </si>
  <si>
    <t>CHERRY PICKER</t>
  </si>
  <si>
    <t>PRINTERS</t>
  </si>
  <si>
    <t>IT</t>
  </si>
  <si>
    <t>NEW SECURITY BARRIERS(BARGLARING)</t>
  </si>
  <si>
    <t>CLINIC</t>
  </si>
  <si>
    <t>0180A340</t>
  </si>
  <si>
    <t>0180A3610</t>
  </si>
  <si>
    <t>FENCING OF THE HARDING SPORTFIELD</t>
  </si>
  <si>
    <t xml:space="preserve">TOTALS </t>
  </si>
  <si>
    <t>R110 per day Maximum of R1650</t>
  </si>
  <si>
    <t>R825,R1100,1650</t>
  </si>
  <si>
    <t>R825,R1100</t>
  </si>
  <si>
    <r>
      <t>1.</t>
    </r>
    <r>
      <rPr>
        <sz val="7"/>
        <color theme="1"/>
        <rFont val="Lucida Sans Unicode"/>
        <family val="2"/>
        <scheme val="minor"/>
      </rPr>
      <t xml:space="preserve">      </t>
    </r>
    <r>
      <rPr>
        <sz val="11"/>
        <color theme="1"/>
        <rFont val="Lucida Sans Unicode"/>
        <family val="2"/>
        <scheme val="minor"/>
      </rPr>
      <t>HALLS</t>
    </r>
  </si>
  <si>
    <r>
      <t>2.</t>
    </r>
    <r>
      <rPr>
        <sz val="7"/>
        <color theme="1"/>
        <rFont val="Lucida Sans Unicode"/>
        <family val="2"/>
        <scheme val="minor"/>
      </rPr>
      <t xml:space="preserve">      </t>
    </r>
    <r>
      <rPr>
        <sz val="11"/>
        <color theme="1"/>
        <rFont val="Lucida Sans Unicode"/>
        <family val="2"/>
        <scheme val="minor"/>
      </rPr>
      <t>MUNICIPAL GROUNDS</t>
    </r>
  </si>
  <si>
    <r>
      <t>3.</t>
    </r>
    <r>
      <rPr>
        <sz val="7"/>
        <color theme="1"/>
        <rFont val="Lucida Sans Unicode"/>
        <family val="2"/>
        <scheme val="minor"/>
      </rPr>
      <t xml:space="preserve">      </t>
    </r>
    <r>
      <rPr>
        <sz val="11"/>
        <color theme="1"/>
        <rFont val="Lucida Sans Unicode"/>
        <family val="2"/>
        <scheme val="minor"/>
      </rPr>
      <t>MUNICIPAL CEMETRIES</t>
    </r>
  </si>
  <si>
    <r>
      <t>4.</t>
    </r>
    <r>
      <rPr>
        <sz val="7"/>
        <color theme="1"/>
        <rFont val="Lucida Sans Unicode"/>
        <family val="2"/>
        <scheme val="minor"/>
      </rPr>
      <t xml:space="preserve">      </t>
    </r>
    <r>
      <rPr>
        <sz val="11"/>
        <color theme="1"/>
        <rFont val="Lucida Sans Unicode"/>
        <family val="2"/>
        <scheme val="minor"/>
      </rPr>
      <t>MISCELLANEOUS SERVICES</t>
    </r>
  </si>
  <si>
    <r>
      <t>5.</t>
    </r>
    <r>
      <rPr>
        <sz val="7"/>
        <color theme="1"/>
        <rFont val="Lucida Sans Unicode"/>
        <family val="2"/>
        <scheme val="minor"/>
      </rPr>
      <t xml:space="preserve">      </t>
    </r>
    <r>
      <rPr>
        <sz val="11"/>
        <color theme="1"/>
        <rFont val="Lucida Sans Unicode"/>
        <family val="2"/>
        <scheme val="minor"/>
      </rPr>
      <t>LIBRARIES</t>
    </r>
  </si>
  <si>
    <r>
      <t>6.</t>
    </r>
    <r>
      <rPr>
        <sz val="7"/>
        <color theme="1"/>
        <rFont val="Lucida Sans Unicode"/>
        <family val="2"/>
        <scheme val="minor"/>
      </rPr>
      <t xml:space="preserve">      </t>
    </r>
    <r>
      <rPr>
        <sz val="11"/>
        <color theme="1"/>
        <rFont val="Lucida Sans Unicode"/>
        <family val="2"/>
        <scheme val="minor"/>
      </rPr>
      <t>REFUSE</t>
    </r>
  </si>
  <si>
    <t xml:space="preserve"> 4X4 BAKKIE WITH CENOPY X1</t>
  </si>
  <si>
    <t>PATROL VEHICLE</t>
  </si>
  <si>
    <t>SECURITY IMPROVEMENT : OFFICE</t>
  </si>
  <si>
    <t>SMALL TOWN</t>
  </si>
  <si>
    <t>EQUITABLE SHARE</t>
  </si>
  <si>
    <t>COUNTERFUNDING</t>
  </si>
  <si>
    <t>Fines &amp; Forfeitures</t>
  </si>
  <si>
    <t>Collection Charge Warrants</t>
  </si>
  <si>
    <t>CRR</t>
  </si>
  <si>
    <t>SMR</t>
  </si>
  <si>
    <t>ESKOM</t>
  </si>
  <si>
    <t>Inservice Traing Stipant</t>
  </si>
  <si>
    <t>Indigent Burials</t>
  </si>
  <si>
    <t>FUNDING</t>
  </si>
  <si>
    <t>TOTAL CAPITAL BUDGET</t>
  </si>
  <si>
    <t>UNFUNDED</t>
  </si>
  <si>
    <t>Policy</t>
  </si>
  <si>
    <t>Equity Plan</t>
  </si>
  <si>
    <t>Traffic &amp; Street Signs</t>
  </si>
  <si>
    <t xml:space="preserve">Security: </t>
  </si>
  <si>
    <t xml:space="preserve">                                                                                             UMUZIWABANTU MUNICIPALITY</t>
  </si>
  <si>
    <t>C</t>
  </si>
  <si>
    <t>OPERATIONAL BUDGET 2009/2010</t>
  </si>
  <si>
    <t>MISCELL</t>
  </si>
  <si>
    <t>REPAIRS &amp;</t>
  </si>
  <si>
    <t>CAPITAL</t>
  </si>
  <si>
    <t>TOTAL</t>
  </si>
  <si>
    <t>ADMIN</t>
  </si>
  <si>
    <t>(SURPLUS)</t>
  </si>
  <si>
    <t>&amp; WAGES</t>
  </si>
  <si>
    <t>EXPENSES</t>
  </si>
  <si>
    <t>MAINTENANCE</t>
  </si>
  <si>
    <t>COST</t>
  </si>
  <si>
    <t>CHARGES</t>
  </si>
  <si>
    <t>DEFICIT</t>
  </si>
  <si>
    <t>MUNICIPAL MANAGER</t>
  </si>
  <si>
    <t>BUDGET AND TREASURY</t>
  </si>
  <si>
    <t>HUMAN RESOURCE</t>
  </si>
  <si>
    <t>CEMETERY</t>
  </si>
  <si>
    <t>COMMUNITY HALLS AND FACILITIES</t>
  </si>
  <si>
    <t>TOURISM</t>
  </si>
  <si>
    <t xml:space="preserve">ROADS   </t>
  </si>
  <si>
    <t>VEHICLE LICENSING AND TESTING</t>
  </si>
  <si>
    <t xml:space="preserve">PARKS AND GARDENS </t>
  </si>
  <si>
    <t>SPORT GROUNDS &amp; STADIUMS</t>
  </si>
  <si>
    <t>ELECTRICITY DISTRIBUTION</t>
  </si>
  <si>
    <t>SOLID WASTE</t>
  </si>
  <si>
    <t>TOTAL OPERATIONAL BUDGET</t>
  </si>
  <si>
    <t>BUDGETED FOR  2009/2010 AS PER GFS CLASSIFICATION</t>
  </si>
  <si>
    <t>FINANCE &amp; ADMIN (FINANCE)</t>
  </si>
  <si>
    <t>FINANCE &amp; ADMIN  (CORP.SERVICES)</t>
  </si>
  <si>
    <t>PLANNING &amp; DEVELOPMENT</t>
  </si>
  <si>
    <t>COMMUNITY &amp; SOCIAL SERVICES</t>
  </si>
  <si>
    <t>SPORTS &amp; RECREATION</t>
  </si>
  <si>
    <t>PUBLIC SAFETY</t>
  </si>
  <si>
    <t>REFUSE REMOVAL</t>
  </si>
  <si>
    <t>WASTE MANAGEMENT</t>
  </si>
  <si>
    <t>OTHER</t>
  </si>
  <si>
    <t>Mayoral Office</t>
  </si>
  <si>
    <t>Staff Housing</t>
  </si>
  <si>
    <t>Housing Schemes</t>
  </si>
  <si>
    <t>General Expenses : Council</t>
  </si>
  <si>
    <t>Public Safety</t>
  </si>
  <si>
    <t>Traffic</t>
  </si>
  <si>
    <t>Finance</t>
  </si>
  <si>
    <t>Fire Fighting</t>
  </si>
  <si>
    <t>Property Services</t>
  </si>
  <si>
    <t>Stores</t>
  </si>
  <si>
    <t>Public Health</t>
  </si>
  <si>
    <t>Administration</t>
  </si>
  <si>
    <t>Clinics</t>
  </si>
  <si>
    <t>Town Hall &amp; Offices</t>
  </si>
  <si>
    <t>Human Resourses</t>
  </si>
  <si>
    <t>Refuse Removal</t>
  </si>
  <si>
    <t>Technical</t>
  </si>
  <si>
    <t>Street Cleaning</t>
  </si>
  <si>
    <t>Tourism</t>
  </si>
  <si>
    <t>Public Conveniences</t>
  </si>
  <si>
    <t>Libraries</t>
  </si>
  <si>
    <t>Electricity</t>
  </si>
  <si>
    <t>Cemetries</t>
  </si>
  <si>
    <t>Road Transport</t>
  </si>
  <si>
    <t>Testing Grounds</t>
  </si>
  <si>
    <t>Municipal Sports Club</t>
  </si>
  <si>
    <t>Roads &amp; Streets</t>
  </si>
  <si>
    <t>Recreation Grounds</t>
  </si>
  <si>
    <t>Parks, Gardens &amp; Estates</t>
  </si>
  <si>
    <t>Other</t>
  </si>
  <si>
    <t>Aerodrome</t>
  </si>
  <si>
    <t>Swimming Pools</t>
  </si>
  <si>
    <t>Workshop</t>
  </si>
  <si>
    <t>Caravan Park</t>
  </si>
  <si>
    <t>Forrestry</t>
  </si>
  <si>
    <t>ESTIMATE\2010\2011</t>
  </si>
  <si>
    <t>PROJECTED</t>
  </si>
  <si>
    <r>
      <t xml:space="preserve">                                      </t>
    </r>
    <r>
      <rPr>
        <b/>
        <sz val="11"/>
        <color theme="1"/>
        <rFont val="Lucida Sans Unicode"/>
        <family val="2"/>
        <scheme val="minor"/>
      </rPr>
      <t xml:space="preserve">    UMUZIWABANTU MUNICIPALITY</t>
    </r>
  </si>
  <si>
    <t xml:space="preserve">                                                  PUBLIC NOTICE</t>
  </si>
  <si>
    <t>In terms of section 75(A) of the Local Government : Municipal System</t>
  </si>
  <si>
    <t>Act, 2000(Act No:32 of 2000) , Section 22 of the Municipal Finance</t>
  </si>
  <si>
    <t>(Act No. 56 of 2003) and municipal property rates act no 6 notice is hereby given to all our ratepayers and</t>
  </si>
  <si>
    <t>customers that:</t>
  </si>
  <si>
    <r>
      <rPr>
        <b/>
        <sz val="11"/>
        <color theme="1"/>
        <rFont val="Lucida Sans Unicode"/>
        <family val="2"/>
        <scheme val="minor"/>
      </rPr>
      <t>1)</t>
    </r>
    <r>
      <rPr>
        <sz val="11"/>
        <color theme="1"/>
        <rFont val="Lucida Sans Unicode"/>
        <family val="2"/>
        <scheme val="minor"/>
      </rPr>
      <t xml:space="preserve"> The Municipal Council has passed a resolution, at  a meeting held on the 26 May 2010, </t>
    </r>
  </si>
  <si>
    <t>approving the 2010/2011 Operating and Capital Budget and amendments to the tariff</t>
  </si>
  <si>
    <t>of charges for municipal services;</t>
  </si>
  <si>
    <r>
      <rPr>
        <b/>
        <sz val="11"/>
        <color theme="1"/>
        <rFont val="Lucida Sans Unicode"/>
        <family val="2"/>
        <scheme val="minor"/>
      </rPr>
      <t>2)</t>
    </r>
    <r>
      <rPr>
        <sz val="11"/>
        <color theme="1"/>
        <rFont val="Lucida Sans Unicode"/>
        <family val="2"/>
        <scheme val="minor"/>
      </rPr>
      <t xml:space="preserve"> Copies of the said resolution, Buget and tariff of charges are available for public </t>
    </r>
  </si>
  <si>
    <t>inspection during office hours at the Municipal Offices situated in Murchison</t>
  </si>
  <si>
    <t>Street, Harding and</t>
  </si>
  <si>
    <r>
      <rPr>
        <b/>
        <sz val="11"/>
        <color theme="1"/>
        <rFont val="Lucida Sans Unicode"/>
        <family val="2"/>
        <scheme val="minor"/>
      </rPr>
      <t>3)</t>
    </r>
    <r>
      <rPr>
        <sz val="11"/>
        <color theme="1"/>
        <rFont val="Lucida Sans Unicode"/>
        <family val="2"/>
        <scheme val="minor"/>
      </rPr>
      <t xml:space="preserve"> the amended tariff of charges are effective from the 1 July 2010</t>
    </r>
  </si>
  <si>
    <t xml:space="preserve">                                                                                                                           BUDGET 2010-2011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</si>
</sst>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&quot;R&quot;\ #,##0;[Red]&quot;R&quot;\ \-#,##0"/>
    <numFmt numFmtId="165" formatCode="&quot;R&quot;\ #,##0.00;[Red]&quot;R&quot;\ \-#,##0.00"/>
    <numFmt numFmtId="166" formatCode="_ * #,##0_ ;_ * \-#,##0_ ;_ * &quot;-&quot;_ ;_ @_ "/>
    <numFmt numFmtId="167" formatCode="_ * #,##0.00_ ;_ * \-#,##0.00_ ;_ * &quot;-&quot;??_ ;_ @_ "/>
    <numFmt numFmtId="168" formatCode="_ * #,##0_ ;_ * \-#,##0_ ;_ * &quot;-&quot;??_ ;_ @_ "/>
  </numFmts>
  <fonts count="44">
    <font>
      <sz val="11"/>
      <color theme="1"/>
      <name val="Lucida Sans Unicode"/>
      <family val="2"/>
      <scheme val="minor"/>
    </font>
    <font>
      <sz val="11"/>
      <color theme="1"/>
      <name val="Lucida Sans Unicode"/>
      <family val="2"/>
      <scheme val="minor"/>
    </font>
    <font>
      <sz val="10"/>
      <name val="Courier"/>
      <family val="3"/>
    </font>
    <font>
      <b/>
      <sz val="11"/>
      <color theme="1"/>
      <name val="Lucida Sans Unicode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color theme="1"/>
      <name val="Lucida Sans Unicode"/>
      <family val="2"/>
      <scheme val="minor"/>
    </font>
    <font>
      <sz val="18"/>
      <color theme="1"/>
      <name val="Lucida Sans Unicode"/>
      <family val="2"/>
      <scheme val="minor"/>
    </font>
    <font>
      <sz val="12"/>
      <color theme="1"/>
      <name val="Lucida Sans Unicode"/>
      <family val="2"/>
      <scheme val="minor"/>
    </font>
    <font>
      <b/>
      <sz val="12"/>
      <color theme="1"/>
      <name val="Lucida Sans Unicode"/>
      <family val="2"/>
      <scheme val="minor"/>
    </font>
    <font>
      <sz val="7"/>
      <color theme="1"/>
      <name val="Lucida Sans Unicode"/>
      <family val="2"/>
      <scheme val="minor"/>
    </font>
    <font>
      <b/>
      <i/>
      <sz val="12"/>
      <color theme="1"/>
      <name val="Lucida Sans Unicode"/>
      <family val="2"/>
      <scheme val="minor"/>
    </font>
    <font>
      <sz val="18"/>
      <color theme="1"/>
      <name val="Arial"/>
      <family val="2"/>
    </font>
    <font>
      <b/>
      <u/>
      <sz val="18"/>
      <color theme="1"/>
      <name val="Lucida Sans Unicode"/>
      <family val="2"/>
      <scheme val="minor"/>
    </font>
    <font>
      <b/>
      <sz val="18"/>
      <color theme="1"/>
      <name val="Arial"/>
      <family val="2"/>
    </font>
    <font>
      <u/>
      <sz val="18"/>
      <color theme="1"/>
      <name val="Lucida Sans Unicode"/>
      <family val="2"/>
      <scheme val="minor"/>
    </font>
    <font>
      <b/>
      <sz val="28"/>
      <name val="Lucida Sans Unicode"/>
      <family val="2"/>
      <scheme val="minor"/>
    </font>
    <font>
      <sz val="28"/>
      <name val="Lucida Sans Unicode"/>
      <family val="2"/>
      <scheme val="minor"/>
    </font>
    <font>
      <sz val="28"/>
      <name val="Arial"/>
      <family val="2"/>
    </font>
    <font>
      <b/>
      <u/>
      <sz val="28"/>
      <name val="Lucida Sans Unicode"/>
      <family val="2"/>
      <scheme val="minor"/>
    </font>
    <font>
      <u val="singleAccounting"/>
      <sz val="28"/>
      <name val="Lucida Sans Unicode"/>
      <family val="2"/>
      <scheme val="minor"/>
    </font>
    <font>
      <b/>
      <sz val="22"/>
      <name val="Arial Narrow"/>
      <family val="2"/>
    </font>
    <font>
      <sz val="22"/>
      <name val="Arial Narrow"/>
      <family val="2"/>
    </font>
    <font>
      <sz val="22"/>
      <name val="Lucida Sans Unicode"/>
      <family val="2"/>
      <scheme val="minor"/>
    </font>
    <font>
      <sz val="22"/>
      <name val="Arial"/>
      <family val="2"/>
    </font>
    <font>
      <b/>
      <u/>
      <sz val="22"/>
      <name val="Arial Narrow"/>
      <family val="2"/>
    </font>
    <font>
      <u/>
      <sz val="22"/>
      <name val="Arial Narrow"/>
      <family val="2"/>
    </font>
    <font>
      <b/>
      <u val="singleAccounting"/>
      <sz val="22"/>
      <name val="Arial Narrow"/>
      <family val="2"/>
    </font>
    <font>
      <u val="singleAccounting"/>
      <sz val="22"/>
      <name val="Arial Narrow"/>
      <family val="2"/>
    </font>
    <font>
      <b/>
      <sz val="22"/>
      <name val="Lucida Sans Unicode"/>
      <family val="2"/>
      <scheme val="minor"/>
    </font>
    <font>
      <sz val="8"/>
      <name val="Arial"/>
      <family val="2"/>
    </font>
    <font>
      <b/>
      <sz val="22"/>
      <color indexed="10"/>
      <name val="Arial"/>
      <family val="2"/>
    </font>
    <font>
      <b/>
      <sz val="24"/>
      <color theme="1"/>
      <name val="Century Gothic"/>
      <family val="2"/>
    </font>
    <font>
      <b/>
      <sz val="24"/>
      <color indexed="17"/>
      <name val="Century Gothic"/>
      <family val="2"/>
    </font>
    <font>
      <b/>
      <sz val="20"/>
      <name val="Arial"/>
      <family val="2"/>
    </font>
    <font>
      <sz val="24"/>
      <color theme="1"/>
      <name val="Century Gothic"/>
      <family val="2"/>
    </font>
    <font>
      <sz val="8"/>
      <color theme="1"/>
      <name val="Arial"/>
      <family val="2"/>
    </font>
    <font>
      <sz val="11"/>
      <color rgb="FFFF0000"/>
      <name val="Lucida Sans Unicode"/>
      <family val="2"/>
      <scheme val="minor"/>
    </font>
    <font>
      <sz val="11"/>
      <name val="Lucida Sans Unicode"/>
      <family val="2"/>
      <scheme val="minor"/>
    </font>
    <font>
      <b/>
      <sz val="11"/>
      <name val="Lucida Sans Unicode"/>
      <family val="2"/>
      <scheme val="minor"/>
    </font>
    <font>
      <b/>
      <u/>
      <sz val="11"/>
      <name val="Lucida Sans Unicode"/>
      <family val="2"/>
      <scheme val="minor"/>
    </font>
    <font>
      <b/>
      <sz val="11"/>
      <color rgb="FFFF0000"/>
      <name val="Lucida Sans Unicode"/>
      <family val="2"/>
      <scheme val="minor"/>
    </font>
    <font>
      <sz val="11"/>
      <color indexed="10"/>
      <name val="Lucida Sans Unicode"/>
      <family val="2"/>
      <scheme val="minor"/>
    </font>
    <font>
      <u/>
      <sz val="11"/>
      <name val="Lucida Sans Unicode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17"/>
      </left>
      <right/>
      <top style="double">
        <color indexed="17"/>
      </top>
      <bottom/>
      <diagonal/>
    </border>
    <border>
      <left/>
      <right/>
      <top style="double">
        <color indexed="17"/>
      </top>
      <bottom/>
      <diagonal/>
    </border>
    <border>
      <left/>
      <right style="double">
        <color indexed="17"/>
      </right>
      <top style="double">
        <color indexed="17"/>
      </top>
      <bottom/>
      <diagonal/>
    </border>
    <border>
      <left style="double">
        <color indexed="17"/>
      </left>
      <right/>
      <top/>
      <bottom/>
      <diagonal/>
    </border>
    <border>
      <left/>
      <right style="double">
        <color indexed="17"/>
      </right>
      <top/>
      <bottom/>
      <diagonal/>
    </border>
    <border>
      <left style="double">
        <color indexed="17"/>
      </left>
      <right/>
      <top/>
      <bottom style="double">
        <color indexed="17"/>
      </bottom>
      <diagonal/>
    </border>
    <border>
      <left/>
      <right/>
      <top/>
      <bottom style="double">
        <color indexed="17"/>
      </bottom>
      <diagonal/>
    </border>
    <border>
      <left/>
      <right style="double">
        <color indexed="17"/>
      </right>
      <top/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7" fontId="2" fillId="0" borderId="0"/>
    <xf numFmtId="167" fontId="1" fillId="0" borderId="0" applyFont="0" applyFill="0" applyBorder="0" applyAlignment="0" applyProtection="0"/>
    <xf numFmtId="0" fontId="30" fillId="0" borderId="0"/>
  </cellStyleXfs>
  <cellXfs count="447">
    <xf numFmtId="0" fontId="0" fillId="0" borderId="0" xfId="0"/>
    <xf numFmtId="0" fontId="0" fillId="0" borderId="0" xfId="0" applyFont="1"/>
    <xf numFmtId="0" fontId="3" fillId="0" borderId="4" xfId="0" applyFont="1" applyBorder="1"/>
    <xf numFmtId="0" fontId="9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Font="1" applyBorder="1"/>
    <xf numFmtId="165" fontId="0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166" fontId="7" fillId="0" borderId="0" xfId="2" applyNumberFormat="1" applyFont="1" applyBorder="1" applyAlignment="1">
      <alignment horizontal="center"/>
    </xf>
    <xf numFmtId="166" fontId="7" fillId="0" borderId="0" xfId="0" applyNumberFormat="1" applyFont="1" applyBorder="1"/>
    <xf numFmtId="166" fontId="6" fillId="0" borderId="0" xfId="0" applyNumberFormat="1" applyFont="1" applyBorder="1" applyAlignment="1">
      <alignment horizontal="center"/>
    </xf>
    <xf numFmtId="166" fontId="6" fillId="0" borderId="0" xfId="0" applyNumberFormat="1" applyFont="1" applyBorder="1" applyAlignment="1">
      <alignment horizontal="right"/>
    </xf>
    <xf numFmtId="166" fontId="7" fillId="0" borderId="0" xfId="2" applyNumberFormat="1" applyFont="1" applyFill="1" applyBorder="1"/>
    <xf numFmtId="166" fontId="7" fillId="3" borderId="0" xfId="2" applyNumberFormat="1" applyFont="1" applyFill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0" fontId="6" fillId="3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Border="1" applyAlignment="1">
      <alignment horizontal="center"/>
    </xf>
    <xf numFmtId="167" fontId="6" fillId="0" borderId="0" xfId="2" applyFont="1" applyBorder="1"/>
    <xf numFmtId="167" fontId="6" fillId="3" borderId="0" xfId="2" applyFont="1" applyFill="1" applyBorder="1"/>
    <xf numFmtId="166" fontId="13" fillId="0" borderId="0" xfId="0" applyNumberFormat="1" applyFont="1" applyBorder="1" applyAlignment="1">
      <alignment horizontal="center"/>
    </xf>
    <xf numFmtId="166" fontId="6" fillId="0" borderId="0" xfId="2" applyNumberFormat="1" applyFont="1" applyBorder="1"/>
    <xf numFmtId="166" fontId="6" fillId="3" borderId="0" xfId="2" applyNumberFormat="1" applyFont="1" applyFill="1" applyBorder="1"/>
    <xf numFmtId="166" fontId="12" fillId="0" borderId="0" xfId="0" applyNumberFormat="1" applyFont="1"/>
    <xf numFmtId="166" fontId="7" fillId="0" borderId="0" xfId="0" applyNumberFormat="1" applyFont="1" applyBorder="1" applyAlignment="1"/>
    <xf numFmtId="166" fontId="7" fillId="0" borderId="0" xfId="2" applyNumberFormat="1" applyFont="1" applyBorder="1"/>
    <xf numFmtId="166" fontId="7" fillId="0" borderId="0" xfId="0" applyNumberFormat="1" applyFont="1" applyBorder="1" applyAlignment="1">
      <alignment horizontal="left"/>
    </xf>
    <xf numFmtId="166" fontId="6" fillId="0" borderId="0" xfId="2" applyNumberFormat="1" applyFont="1" applyBorder="1" applyAlignment="1">
      <alignment horizontal="right"/>
    </xf>
    <xf numFmtId="166" fontId="6" fillId="0" borderId="0" xfId="2" applyNumberFormat="1" applyFont="1" applyBorder="1" applyAlignment="1">
      <alignment horizontal="center"/>
    </xf>
    <xf numFmtId="166" fontId="13" fillId="0" borderId="0" xfId="2" applyNumberFormat="1" applyFont="1" applyBorder="1" applyAlignment="1">
      <alignment horizontal="center"/>
    </xf>
    <xf numFmtId="166" fontId="13" fillId="0" borderId="0" xfId="0" applyNumberFormat="1" applyFont="1" applyBorder="1"/>
    <xf numFmtId="166" fontId="13" fillId="0" borderId="0" xfId="0" applyNumberFormat="1" applyFont="1" applyBorder="1" applyAlignment="1">
      <alignment horizontal="right"/>
    </xf>
    <xf numFmtId="166" fontId="7" fillId="0" borderId="0" xfId="2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Border="1"/>
    <xf numFmtId="166" fontId="6" fillId="0" borderId="0" xfId="2" applyNumberFormat="1" applyFont="1" applyFill="1" applyBorder="1"/>
    <xf numFmtId="166" fontId="14" fillId="0" borderId="0" xfId="0" applyNumberFormat="1" applyFont="1"/>
    <xf numFmtId="166" fontId="14" fillId="0" borderId="0" xfId="0" applyNumberFormat="1" applyFont="1" applyAlignment="1">
      <alignment wrapText="1"/>
    </xf>
    <xf numFmtId="166" fontId="6" fillId="3" borderId="0" xfId="2" applyNumberFormat="1" applyFont="1" applyFill="1" applyBorder="1" applyAlignment="1">
      <alignment horizontal="right"/>
    </xf>
    <xf numFmtId="166" fontId="6" fillId="0" borderId="0" xfId="2" applyNumberFormat="1" applyFont="1" applyFill="1" applyBorder="1" applyAlignment="1">
      <alignment horizontal="right"/>
    </xf>
    <xf numFmtId="166" fontId="6" fillId="3" borderId="0" xfId="2" applyNumberFormat="1" applyFont="1" applyFill="1" applyBorder="1" applyAlignment="1">
      <alignment horizontal="center"/>
    </xf>
    <xf numFmtId="166" fontId="7" fillId="0" borderId="0" xfId="2" applyNumberFormat="1" applyFont="1" applyBorder="1" applyAlignment="1">
      <alignment horizontal="right"/>
    </xf>
    <xf numFmtId="166" fontId="7" fillId="3" borderId="0" xfId="2" applyNumberFormat="1" applyFont="1" applyFill="1" applyBorder="1" applyAlignment="1">
      <alignment horizontal="right"/>
    </xf>
    <xf numFmtId="166" fontId="7" fillId="0" borderId="0" xfId="0" applyNumberFormat="1" applyFont="1" applyFill="1" applyBorder="1"/>
    <xf numFmtId="166" fontId="7" fillId="0" borderId="0" xfId="0" applyNumberFormat="1" applyFont="1" applyBorder="1" applyAlignment="1">
      <alignment horizontal="right"/>
    </xf>
    <xf numFmtId="166" fontId="6" fillId="0" borderId="0" xfId="2" applyNumberFormat="1" applyFont="1" applyFill="1" applyBorder="1" applyAlignment="1">
      <alignment horizontal="center"/>
    </xf>
    <xf numFmtId="166" fontId="15" fillId="0" borderId="0" xfId="2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6" fontId="7" fillId="0" borderId="0" xfId="2" quotePrefix="1" applyNumberFormat="1" applyFont="1" applyFill="1" applyBorder="1"/>
    <xf numFmtId="166" fontId="7" fillId="3" borderId="0" xfId="2" quotePrefix="1" applyNumberFormat="1" applyFont="1" applyFill="1" applyBorder="1"/>
    <xf numFmtId="166" fontId="7" fillId="2" borderId="0" xfId="0" applyNumberFormat="1" applyFont="1" applyFill="1" applyBorder="1" applyAlignment="1">
      <alignment horizontal="left"/>
    </xf>
    <xf numFmtId="164" fontId="14" fillId="0" borderId="0" xfId="0" applyNumberFormat="1" applyFont="1"/>
    <xf numFmtId="166" fontId="15" fillId="0" borderId="0" xfId="0" applyNumberFormat="1" applyFont="1" applyBorder="1" applyAlignment="1">
      <alignment horizontal="left"/>
    </xf>
    <xf numFmtId="166" fontId="7" fillId="0" borderId="0" xfId="2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center"/>
    </xf>
    <xf numFmtId="166" fontId="13" fillId="0" borderId="0" xfId="2" applyNumberFormat="1" applyFont="1" applyBorder="1" applyAlignment="1">
      <alignment horizontal="right"/>
    </xf>
    <xf numFmtId="166" fontId="15" fillId="0" borderId="0" xfId="2" applyNumberFormat="1" applyFont="1" applyBorder="1" applyAlignment="1">
      <alignment horizontal="right"/>
    </xf>
    <xf numFmtId="166" fontId="12" fillId="0" borderId="0" xfId="0" applyNumberFormat="1" applyFont="1" applyFill="1"/>
    <xf numFmtId="0" fontId="12" fillId="0" borderId="0" xfId="0" applyFont="1" applyFill="1"/>
    <xf numFmtId="166" fontId="15" fillId="0" borderId="0" xfId="0" applyNumberFormat="1" applyFont="1" applyBorder="1" applyAlignment="1">
      <alignment horizontal="center"/>
    </xf>
    <xf numFmtId="166" fontId="12" fillId="0" borderId="0" xfId="2" applyNumberFormat="1" applyFont="1" applyBorder="1"/>
    <xf numFmtId="166" fontId="12" fillId="0" borderId="0" xfId="0" applyNumberFormat="1" applyFont="1" applyBorder="1"/>
    <xf numFmtId="166" fontId="14" fillId="0" borderId="0" xfId="2" applyNumberFormat="1" applyFont="1" applyBorder="1"/>
    <xf numFmtId="166" fontId="14" fillId="0" borderId="0" xfId="0" applyNumberFormat="1" applyFont="1" applyBorder="1"/>
    <xf numFmtId="0" fontId="12" fillId="0" borderId="0" xfId="0" applyFont="1" applyBorder="1"/>
    <xf numFmtId="0" fontId="14" fillId="0" borderId="0" xfId="0" applyFont="1"/>
    <xf numFmtId="0" fontId="17" fillId="0" borderId="0" xfId="0" applyFont="1" applyFill="1"/>
    <xf numFmtId="0" fontId="18" fillId="0" borderId="0" xfId="0" applyFont="1" applyFill="1"/>
    <xf numFmtId="0" fontId="17" fillId="0" borderId="7" xfId="0" applyFont="1" applyFill="1" applyBorder="1"/>
    <xf numFmtId="0" fontId="17" fillId="0" borderId="5" xfId="0" applyFont="1" applyFill="1" applyBorder="1"/>
    <xf numFmtId="166" fontId="17" fillId="0" borderId="5" xfId="0" applyNumberFormat="1" applyFont="1" applyFill="1" applyBorder="1"/>
    <xf numFmtId="166" fontId="17" fillId="3" borderId="5" xfId="0" applyNumberFormat="1" applyFont="1" applyFill="1" applyBorder="1"/>
    <xf numFmtId="166" fontId="17" fillId="0" borderId="8" xfId="0" applyNumberFormat="1" applyFont="1" applyFill="1" applyBorder="1"/>
    <xf numFmtId="166" fontId="17" fillId="0" borderId="0" xfId="0" applyNumberFormat="1" applyFont="1" applyFill="1"/>
    <xf numFmtId="0" fontId="17" fillId="0" borderId="9" xfId="0" applyFont="1" applyFill="1" applyBorder="1"/>
    <xf numFmtId="0" fontId="17" fillId="0" borderId="0" xfId="0" applyFont="1" applyFill="1" applyBorder="1" applyAlignment="1">
      <alignment horizontal="center"/>
    </xf>
    <xf numFmtId="166" fontId="17" fillId="0" borderId="0" xfId="0" applyNumberFormat="1" applyFont="1" applyFill="1" applyBorder="1"/>
    <xf numFmtId="166" fontId="17" fillId="3" borderId="0" xfId="0" applyNumberFormat="1" applyFont="1" applyFill="1" applyBorder="1"/>
    <xf numFmtId="166" fontId="17" fillId="0" borderId="11" xfId="0" applyNumberFormat="1" applyFont="1" applyFill="1" applyBorder="1"/>
    <xf numFmtId="0" fontId="19" fillId="0" borderId="14" xfId="0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9" fillId="0" borderId="9" xfId="0" applyFont="1" applyFill="1" applyBorder="1" applyAlignment="1">
      <alignment horizontal="center"/>
    </xf>
    <xf numFmtId="167" fontId="19" fillId="0" borderId="13" xfId="2" applyFont="1" applyFill="1" applyBorder="1" applyAlignment="1">
      <alignment horizontal="center"/>
    </xf>
    <xf numFmtId="167" fontId="19" fillId="0" borderId="3" xfId="2" applyFont="1" applyFill="1" applyBorder="1" applyAlignment="1">
      <alignment horizontal="center"/>
    </xf>
    <xf numFmtId="167" fontId="19" fillId="3" borderId="3" xfId="2" applyFont="1" applyFill="1" applyBorder="1" applyAlignment="1">
      <alignment horizontal="center"/>
    </xf>
    <xf numFmtId="167" fontId="19" fillId="0" borderId="12" xfId="2" applyFont="1" applyFill="1" applyBorder="1" applyAlignment="1">
      <alignment horizontal="center"/>
    </xf>
    <xf numFmtId="166" fontId="16" fillId="0" borderId="3" xfId="0" quotePrefix="1" applyNumberFormat="1" applyFont="1" applyFill="1" applyBorder="1"/>
    <xf numFmtId="0" fontId="17" fillId="0" borderId="10" xfId="0" applyFont="1" applyFill="1" applyBorder="1" applyAlignment="1">
      <alignment horizontal="center"/>
    </xf>
    <xf numFmtId="166" fontId="17" fillId="0" borderId="11" xfId="0" applyNumberFormat="1" applyFont="1" applyFill="1" applyBorder="1" applyAlignment="1">
      <alignment horizontal="center"/>
    </xf>
    <xf numFmtId="166" fontId="17" fillId="0" borderId="10" xfId="0" applyNumberFormat="1" applyFont="1" applyFill="1" applyBorder="1"/>
    <xf numFmtId="166" fontId="17" fillId="0" borderId="9" xfId="0" applyNumberFormat="1" applyFont="1" applyFill="1" applyBorder="1"/>
    <xf numFmtId="166" fontId="17" fillId="0" borderId="11" xfId="2" applyNumberFormat="1" applyFont="1" applyFill="1" applyBorder="1"/>
    <xf numFmtId="166" fontId="17" fillId="0" borderId="4" xfId="0" applyNumberFormat="1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166" fontId="16" fillId="0" borderId="18" xfId="0" applyNumberFormat="1" applyFont="1" applyFill="1" applyBorder="1" applyAlignment="1">
      <alignment horizontal="center"/>
    </xf>
    <xf numFmtId="166" fontId="16" fillId="0" borderId="16" xfId="0" applyNumberFormat="1" applyFont="1" applyFill="1" applyBorder="1" applyAlignment="1">
      <alignment horizontal="center"/>
    </xf>
    <xf numFmtId="166" fontId="16" fillId="3" borderId="16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center"/>
    </xf>
    <xf numFmtId="166" fontId="16" fillId="0" borderId="0" xfId="0" applyNumberFormat="1" applyFont="1" applyFill="1" applyBorder="1"/>
    <xf numFmtId="166" fontId="16" fillId="3" borderId="0" xfId="0" applyNumberFormat="1" applyFont="1" applyFill="1" applyBorder="1"/>
    <xf numFmtId="0" fontId="19" fillId="0" borderId="4" xfId="0" applyFont="1" applyFill="1" applyBorder="1" applyAlignment="1">
      <alignment horizontal="left"/>
    </xf>
    <xf numFmtId="166" fontId="17" fillId="0" borderId="7" xfId="0" applyNumberFormat="1" applyFont="1" applyFill="1" applyBorder="1"/>
    <xf numFmtId="0" fontId="16" fillId="0" borderId="10" xfId="0" applyFont="1" applyFill="1" applyBorder="1"/>
    <xf numFmtId="0" fontId="17" fillId="0" borderId="10" xfId="0" applyFont="1" applyFill="1" applyBorder="1"/>
    <xf numFmtId="166" fontId="17" fillId="0" borderId="10" xfId="0" applyNumberFormat="1" applyFont="1" applyFill="1" applyBorder="1" applyAlignment="1">
      <alignment horizontal="center"/>
    </xf>
    <xf numFmtId="166" fontId="17" fillId="0" borderId="10" xfId="2" applyNumberFormat="1" applyFont="1" applyFill="1" applyBorder="1"/>
    <xf numFmtId="166" fontId="16" fillId="0" borderId="4" xfId="0" applyNumberFormat="1" applyFont="1" applyFill="1" applyBorder="1" applyAlignment="1">
      <alignment horizontal="center"/>
    </xf>
    <xf numFmtId="166" fontId="16" fillId="3" borderId="4" xfId="0" applyNumberFormat="1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166" fontId="17" fillId="0" borderId="5" xfId="0" applyNumberFormat="1" applyFont="1" applyFill="1" applyBorder="1" applyAlignment="1">
      <alignment horizontal="center"/>
    </xf>
    <xf numFmtId="166" fontId="17" fillId="0" borderId="8" xfId="2" applyNumberFormat="1" applyFont="1" applyFill="1" applyBorder="1"/>
    <xf numFmtId="0" fontId="17" fillId="0" borderId="12" xfId="0" applyFont="1" applyFill="1" applyBorder="1"/>
    <xf numFmtId="0" fontId="17" fillId="0" borderId="6" xfId="0" applyFont="1" applyFill="1" applyBorder="1" applyAlignment="1">
      <alignment horizontal="center"/>
    </xf>
    <xf numFmtId="166" fontId="17" fillId="0" borderId="6" xfId="0" applyNumberFormat="1" applyFont="1" applyFill="1" applyBorder="1" applyAlignment="1">
      <alignment horizontal="center"/>
    </xf>
    <xf numFmtId="166" fontId="17" fillId="0" borderId="6" xfId="0" applyNumberFormat="1" applyFont="1" applyFill="1" applyBorder="1"/>
    <xf numFmtId="166" fontId="17" fillId="3" borderId="6" xfId="0" applyNumberFormat="1" applyFont="1" applyFill="1" applyBorder="1"/>
    <xf numFmtId="166" fontId="17" fillId="0" borderId="13" xfId="2" applyNumberFormat="1" applyFont="1" applyFill="1" applyBorder="1"/>
    <xf numFmtId="0" fontId="19" fillId="0" borderId="10" xfId="0" applyFont="1" applyFill="1" applyBorder="1" applyAlignment="1">
      <alignment horizontal="left"/>
    </xf>
    <xf numFmtId="0" fontId="16" fillId="0" borderId="9" xfId="0" applyFont="1" applyFill="1" applyBorder="1"/>
    <xf numFmtId="166" fontId="19" fillId="0" borderId="10" xfId="2" applyNumberFormat="1" applyFont="1" applyFill="1" applyBorder="1" applyAlignment="1">
      <alignment horizontal="center"/>
    </xf>
    <xf numFmtId="166" fontId="17" fillId="3" borderId="0" xfId="2" applyNumberFormat="1" applyFont="1" applyFill="1" applyBorder="1" applyAlignment="1">
      <alignment horizontal="center"/>
    </xf>
    <xf numFmtId="166" fontId="19" fillId="0" borderId="9" xfId="2" applyNumberFormat="1" applyFont="1" applyFill="1" applyBorder="1" applyAlignment="1">
      <alignment horizontal="center"/>
    </xf>
    <xf numFmtId="166" fontId="16" fillId="0" borderId="5" xfId="0" applyNumberFormat="1" applyFont="1" applyFill="1" applyBorder="1"/>
    <xf numFmtId="166" fontId="16" fillId="3" borderId="5" xfId="0" applyNumberFormat="1" applyFont="1" applyFill="1" applyBorder="1"/>
    <xf numFmtId="0" fontId="17" fillId="0" borderId="7" xfId="0" applyFont="1" applyFill="1" applyBorder="1" applyAlignment="1">
      <alignment horizontal="center"/>
    </xf>
    <xf numFmtId="166" fontId="16" fillId="0" borderId="7" xfId="0" applyNumberFormat="1" applyFont="1" applyFill="1" applyBorder="1"/>
    <xf numFmtId="166" fontId="16" fillId="3" borderId="4" xfId="0" applyNumberFormat="1" applyFont="1" applyFill="1" applyBorder="1"/>
    <xf numFmtId="166" fontId="16" fillId="0" borderId="8" xfId="0" applyNumberFormat="1" applyFont="1" applyFill="1" applyBorder="1"/>
    <xf numFmtId="167" fontId="19" fillId="0" borderId="9" xfId="2" applyFont="1" applyFill="1" applyBorder="1" applyAlignment="1">
      <alignment horizontal="center"/>
    </xf>
    <xf numFmtId="167" fontId="19" fillId="3" borderId="10" xfId="2" applyFont="1" applyFill="1" applyBorder="1" applyAlignment="1">
      <alignment horizontal="center"/>
    </xf>
    <xf numFmtId="167" fontId="19" fillId="0" borderId="11" xfId="2" applyFont="1" applyFill="1" applyBorder="1" applyAlignment="1">
      <alignment horizontal="center"/>
    </xf>
    <xf numFmtId="166" fontId="16" fillId="0" borderId="11" xfId="0" quotePrefix="1" applyNumberFormat="1" applyFont="1" applyFill="1" applyBorder="1"/>
    <xf numFmtId="0" fontId="17" fillId="0" borderId="9" xfId="0" applyFont="1" applyFill="1" applyBorder="1" applyAlignment="1">
      <alignment horizontal="center"/>
    </xf>
    <xf numFmtId="166" fontId="17" fillId="0" borderId="9" xfId="0" applyNumberFormat="1" applyFont="1" applyFill="1" applyBorder="1" applyAlignment="1">
      <alignment horizontal="center"/>
    </xf>
    <xf numFmtId="166" fontId="17" fillId="0" borderId="9" xfId="0" applyNumberFormat="1" applyFont="1" applyFill="1" applyBorder="1" applyAlignment="1">
      <alignment horizontal="right"/>
    </xf>
    <xf numFmtId="166" fontId="17" fillId="3" borderId="10" xfId="0" applyNumberFormat="1" applyFont="1" applyFill="1" applyBorder="1" applyAlignment="1">
      <alignment horizontal="right"/>
    </xf>
    <xf numFmtId="166" fontId="17" fillId="0" borderId="11" xfId="0" applyNumberFormat="1" applyFont="1" applyFill="1" applyBorder="1" applyAlignment="1">
      <alignment horizontal="right"/>
    </xf>
    <xf numFmtId="0" fontId="17" fillId="0" borderId="9" xfId="0" applyFont="1" applyFill="1" applyBorder="1" applyAlignment="1">
      <alignment wrapText="1"/>
    </xf>
    <xf numFmtId="166" fontId="17" fillId="3" borderId="10" xfId="0" applyNumberFormat="1" applyFont="1" applyFill="1" applyBorder="1"/>
    <xf numFmtId="166" fontId="17" fillId="0" borderId="12" xfId="0" applyNumberFormat="1" applyFont="1" applyFill="1" applyBorder="1" applyAlignment="1">
      <alignment horizontal="center"/>
    </xf>
    <xf numFmtId="166" fontId="17" fillId="0" borderId="12" xfId="0" applyNumberFormat="1" applyFont="1" applyFill="1" applyBorder="1"/>
    <xf numFmtId="166" fontId="17" fillId="3" borderId="3" xfId="0" applyNumberFormat="1" applyFont="1" applyFill="1" applyBorder="1"/>
    <xf numFmtId="166" fontId="17" fillId="0" borderId="13" xfId="0" applyNumberFormat="1" applyFont="1" applyFill="1" applyBorder="1"/>
    <xf numFmtId="166" fontId="16" fillId="0" borderId="11" xfId="0" applyNumberFormat="1" applyFont="1" applyFill="1" applyBorder="1" applyAlignment="1">
      <alignment horizontal="center"/>
    </xf>
    <xf numFmtId="166" fontId="16" fillId="0" borderId="9" xfId="0" applyNumberFormat="1" applyFont="1" applyFill="1" applyBorder="1" applyAlignment="1">
      <alignment horizontal="center"/>
    </xf>
    <xf numFmtId="166" fontId="16" fillId="0" borderId="10" xfId="0" applyNumberFormat="1" applyFont="1" applyFill="1" applyBorder="1" applyAlignment="1">
      <alignment horizontal="center"/>
    </xf>
    <xf numFmtId="166" fontId="16" fillId="3" borderId="10" xfId="0" applyNumberFormat="1" applyFont="1" applyFill="1" applyBorder="1" applyAlignment="1">
      <alignment horizontal="center"/>
    </xf>
    <xf numFmtId="0" fontId="17" fillId="0" borderId="14" xfId="0" applyFont="1" applyFill="1" applyBorder="1"/>
    <xf numFmtId="0" fontId="17" fillId="0" borderId="2" xfId="0" applyFont="1" applyFill="1" applyBorder="1" applyAlignment="1">
      <alignment horizontal="center"/>
    </xf>
    <xf numFmtId="166" fontId="16" fillId="0" borderId="2" xfId="0" applyNumberFormat="1" applyFont="1" applyFill="1" applyBorder="1" applyAlignment="1">
      <alignment horizontal="center"/>
    </xf>
    <xf numFmtId="166" fontId="16" fillId="3" borderId="2" xfId="0" applyNumberFormat="1" applyFont="1" applyFill="1" applyBorder="1" applyAlignment="1">
      <alignment horizontal="center"/>
    </xf>
    <xf numFmtId="166" fontId="16" fillId="0" borderId="15" xfId="0" applyNumberFormat="1" applyFont="1" applyFill="1" applyBorder="1" applyAlignment="1">
      <alignment horizontal="center"/>
    </xf>
    <xf numFmtId="166" fontId="16" fillId="0" borderId="9" xfId="0" applyNumberFormat="1" applyFont="1" applyFill="1" applyBorder="1"/>
    <xf numFmtId="166" fontId="16" fillId="3" borderId="10" xfId="0" applyNumberFormat="1" applyFont="1" applyFill="1" applyBorder="1"/>
    <xf numFmtId="166" fontId="16" fillId="0" borderId="11" xfId="0" applyNumberFormat="1" applyFont="1" applyFill="1" applyBorder="1"/>
    <xf numFmtId="0" fontId="16" fillId="0" borderId="9" xfId="0" quotePrefix="1" applyFont="1" applyFill="1" applyBorder="1" applyAlignment="1">
      <alignment horizontal="center"/>
    </xf>
    <xf numFmtId="167" fontId="19" fillId="0" borderId="10" xfId="2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166" fontId="16" fillId="0" borderId="3" xfId="0" applyNumberFormat="1" applyFont="1" applyFill="1" applyBorder="1" applyAlignment="1">
      <alignment horizontal="center"/>
    </xf>
    <xf numFmtId="166" fontId="16" fillId="3" borderId="3" xfId="0" applyNumberFormat="1" applyFont="1" applyFill="1" applyBorder="1" applyAlignment="1">
      <alignment horizontal="center"/>
    </xf>
    <xf numFmtId="166" fontId="16" fillId="0" borderId="13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6" fontId="17" fillId="0" borderId="9" xfId="2" applyNumberFormat="1" applyFont="1" applyFill="1" applyBorder="1"/>
    <xf numFmtId="0" fontId="16" fillId="0" borderId="10" xfId="0" quotePrefix="1" applyFont="1" applyFill="1" applyBorder="1" applyAlignment="1">
      <alignment horizontal="center"/>
    </xf>
    <xf numFmtId="0" fontId="17" fillId="0" borderId="3" xfId="0" applyFont="1" applyFill="1" applyBorder="1"/>
    <xf numFmtId="166" fontId="20" fillId="0" borderId="9" xfId="0" applyNumberFormat="1" applyFont="1" applyFill="1" applyBorder="1"/>
    <xf numFmtId="166" fontId="20" fillId="0" borderId="10" xfId="0" quotePrefix="1" applyNumberFormat="1" applyFont="1" applyFill="1" applyBorder="1" applyAlignment="1">
      <alignment horizontal="center"/>
    </xf>
    <xf numFmtId="166" fontId="20" fillId="0" borderId="9" xfId="2" applyNumberFormat="1" applyFont="1" applyFill="1" applyBorder="1" applyAlignment="1">
      <alignment horizontal="center"/>
    </xf>
    <xf numFmtId="166" fontId="20" fillId="3" borderId="10" xfId="2" applyNumberFormat="1" applyFont="1" applyFill="1" applyBorder="1" applyAlignment="1">
      <alignment horizontal="center"/>
    </xf>
    <xf numFmtId="166" fontId="20" fillId="0" borderId="11" xfId="2" applyNumberFormat="1" applyFont="1" applyFill="1" applyBorder="1" applyAlignment="1">
      <alignment horizontal="center"/>
    </xf>
    <xf numFmtId="166" fontId="20" fillId="0" borderId="11" xfId="0" quotePrefix="1" applyNumberFormat="1" applyFont="1" applyFill="1" applyBorder="1"/>
    <xf numFmtId="0" fontId="16" fillId="0" borderId="7" xfId="0" applyFont="1" applyFill="1" applyBorder="1"/>
    <xf numFmtId="167" fontId="19" fillId="0" borderId="1" xfId="2" applyFont="1" applyFill="1" applyBorder="1" applyAlignment="1">
      <alignment horizontal="center"/>
    </xf>
    <xf numFmtId="167" fontId="19" fillId="3" borderId="1" xfId="2" applyFont="1" applyFill="1" applyBorder="1" applyAlignment="1">
      <alignment horizontal="center"/>
    </xf>
    <xf numFmtId="167" fontId="19" fillId="0" borderId="14" xfId="2" applyFont="1" applyFill="1" applyBorder="1" applyAlignment="1">
      <alignment horizontal="center"/>
    </xf>
    <xf numFmtId="166" fontId="16" fillId="0" borderId="1" xfId="0" quotePrefix="1" applyNumberFormat="1" applyFont="1" applyFill="1" applyBorder="1"/>
    <xf numFmtId="166" fontId="17" fillId="0" borderId="10" xfId="2" applyNumberFormat="1" applyFont="1" applyFill="1" applyBorder="1" applyAlignment="1">
      <alignment horizontal="center"/>
    </xf>
    <xf numFmtId="166" fontId="17" fillId="0" borderId="0" xfId="2" applyNumberFormat="1" applyFont="1" applyFill="1" applyBorder="1" applyAlignment="1">
      <alignment horizontal="center"/>
    </xf>
    <xf numFmtId="166" fontId="17" fillId="0" borderId="11" xfId="0" quotePrefix="1" applyNumberFormat="1" applyFont="1" applyFill="1" applyBorder="1"/>
    <xf numFmtId="166" fontId="17" fillId="0" borderId="10" xfId="0" applyNumberFormat="1" applyFont="1" applyFill="1" applyBorder="1" applyAlignment="1"/>
    <xf numFmtId="166" fontId="17" fillId="3" borderId="0" xfId="0" applyNumberFormat="1" applyFont="1" applyFill="1" applyBorder="1" applyAlignment="1"/>
    <xf numFmtId="166" fontId="17" fillId="0" borderId="11" xfId="0" applyNumberFormat="1" applyFont="1" applyFill="1" applyBorder="1" applyAlignment="1"/>
    <xf numFmtId="0" fontId="16" fillId="0" borderId="12" xfId="0" applyFont="1" applyFill="1" applyBorder="1"/>
    <xf numFmtId="166" fontId="16" fillId="0" borderId="16" xfId="0" applyNumberFormat="1" applyFont="1" applyFill="1" applyBorder="1"/>
    <xf numFmtId="166" fontId="16" fillId="3" borderId="17" xfId="0" applyNumberFormat="1" applyFont="1" applyFill="1" applyBorder="1"/>
    <xf numFmtId="166" fontId="16" fillId="0" borderId="18" xfId="0" applyNumberFormat="1" applyFont="1" applyFill="1" applyBorder="1"/>
    <xf numFmtId="166" fontId="16" fillId="0" borderId="16" xfId="2" applyNumberFormat="1" applyFont="1" applyFill="1" applyBorder="1"/>
    <xf numFmtId="166" fontId="16" fillId="0" borderId="4" xfId="2" applyNumberFormat="1" applyFont="1" applyFill="1" applyBorder="1"/>
    <xf numFmtId="166" fontId="17" fillId="3" borderId="4" xfId="0" applyNumberFormat="1" applyFont="1" applyFill="1" applyBorder="1"/>
    <xf numFmtId="166" fontId="17" fillId="0" borderId="3" xfId="0" applyNumberFormat="1" applyFont="1" applyFill="1" applyBorder="1" applyAlignment="1">
      <alignment horizontal="center"/>
    </xf>
    <xf numFmtId="166" fontId="17" fillId="0" borderId="3" xfId="2" applyNumberFormat="1" applyFont="1" applyFill="1" applyBorder="1"/>
    <xf numFmtId="0" fontId="17" fillId="0" borderId="1" xfId="0" applyFont="1" applyFill="1" applyBorder="1" applyAlignment="1">
      <alignment horizontal="center"/>
    </xf>
    <xf numFmtId="166" fontId="16" fillId="0" borderId="1" xfId="0" applyNumberFormat="1" applyFont="1" applyFill="1" applyBorder="1" applyAlignment="1">
      <alignment horizontal="center"/>
    </xf>
    <xf numFmtId="166" fontId="16" fillId="0" borderId="1" xfId="0" applyNumberFormat="1" applyFont="1" applyFill="1" applyBorder="1"/>
    <xf numFmtId="166" fontId="16" fillId="3" borderId="1" xfId="0" applyNumberFormat="1" applyFont="1" applyFill="1" applyBorder="1"/>
    <xf numFmtId="0" fontId="17" fillId="0" borderId="0" xfId="0" applyFont="1" applyFill="1" applyAlignment="1">
      <alignment horizontal="center"/>
    </xf>
    <xf numFmtId="166" fontId="17" fillId="3" borderId="0" xfId="0" applyNumberFormat="1" applyFont="1" applyFill="1"/>
    <xf numFmtId="166" fontId="17" fillId="0" borderId="0" xfId="0" applyNumberFormat="1" applyFont="1" applyFill="1" applyAlignment="1">
      <alignment horizontal="center"/>
    </xf>
    <xf numFmtId="166" fontId="17" fillId="3" borderId="0" xfId="0" applyNumberFormat="1" applyFont="1" applyFill="1" applyAlignment="1">
      <alignment horizontal="center"/>
    </xf>
    <xf numFmtId="0" fontId="22" fillId="0" borderId="0" xfId="0" applyFont="1" applyFill="1"/>
    <xf numFmtId="0" fontId="23" fillId="0" borderId="0" xfId="0" applyFont="1" applyFill="1"/>
    <xf numFmtId="0" fontId="24" fillId="0" borderId="0" xfId="0" applyFont="1" applyFill="1"/>
    <xf numFmtId="0" fontId="25" fillId="0" borderId="7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/>
    </xf>
    <xf numFmtId="167" fontId="25" fillId="0" borderId="1" xfId="2" applyFont="1" applyFill="1" applyBorder="1" applyAlignment="1">
      <alignment horizontal="center"/>
    </xf>
    <xf numFmtId="167" fontId="25" fillId="3" borderId="1" xfId="2" applyFont="1" applyFill="1" applyBorder="1" applyAlignment="1">
      <alignment horizontal="center"/>
    </xf>
    <xf numFmtId="167" fontId="25" fillId="0" borderId="14" xfId="2" applyFont="1" applyFill="1" applyBorder="1" applyAlignment="1">
      <alignment horizontal="center"/>
    </xf>
    <xf numFmtId="166" fontId="21" fillId="0" borderId="1" xfId="0" applyNumberFormat="1" applyFont="1" applyFill="1" applyBorder="1"/>
    <xf numFmtId="166" fontId="23" fillId="0" borderId="0" xfId="0" applyNumberFormat="1" applyFont="1" applyFill="1"/>
    <xf numFmtId="0" fontId="21" fillId="0" borderId="9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166" fontId="22" fillId="0" borderId="10" xfId="0" applyNumberFormat="1" applyFont="1" applyFill="1" applyBorder="1"/>
    <xf numFmtId="166" fontId="22" fillId="0" borderId="0" xfId="0" applyNumberFormat="1" applyFont="1" applyFill="1" applyBorder="1"/>
    <xf numFmtId="166" fontId="22" fillId="3" borderId="0" xfId="0" applyNumberFormat="1" applyFont="1" applyFill="1" applyBorder="1"/>
    <xf numFmtId="166" fontId="22" fillId="0" borderId="1" xfId="0" applyNumberFormat="1" applyFont="1" applyFill="1" applyBorder="1"/>
    <xf numFmtId="0" fontId="22" fillId="0" borderId="14" xfId="0" applyFont="1" applyFill="1" applyBorder="1"/>
    <xf numFmtId="0" fontId="22" fillId="0" borderId="1" xfId="0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horizontal="center"/>
    </xf>
    <xf numFmtId="167" fontId="22" fillId="3" borderId="1" xfId="2" applyFont="1" applyFill="1" applyBorder="1"/>
    <xf numFmtId="166" fontId="22" fillId="0" borderId="1" xfId="2" applyNumberFormat="1" applyFont="1" applyFill="1" applyBorder="1"/>
    <xf numFmtId="167" fontId="22" fillId="0" borderId="1" xfId="2" applyFont="1" applyFill="1" applyBorder="1"/>
    <xf numFmtId="0" fontId="22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166" fontId="26" fillId="0" borderId="1" xfId="0" applyNumberFormat="1" applyFont="1" applyFill="1" applyBorder="1"/>
    <xf numFmtId="167" fontId="21" fillId="3" borderId="1" xfId="2" applyFont="1" applyFill="1" applyBorder="1"/>
    <xf numFmtId="0" fontId="22" fillId="0" borderId="0" xfId="0" applyFont="1" applyFill="1" applyBorder="1"/>
    <xf numFmtId="0" fontId="22" fillId="3" borderId="0" xfId="0" applyFont="1" applyFill="1"/>
    <xf numFmtId="167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167" fontId="22" fillId="3" borderId="0" xfId="0" applyNumberFormat="1" applyFont="1" applyFill="1" applyBorder="1"/>
    <xf numFmtId="167" fontId="22" fillId="0" borderId="0" xfId="2" applyNumberFormat="1" applyFont="1" applyFill="1" applyBorder="1"/>
    <xf numFmtId="166" fontId="23" fillId="0" borderId="0" xfId="0" applyNumberFormat="1" applyFont="1" applyFill="1" applyBorder="1"/>
    <xf numFmtId="0" fontId="23" fillId="0" borderId="0" xfId="0" applyFont="1" applyFill="1" applyBorder="1"/>
    <xf numFmtId="0" fontId="24" fillId="0" borderId="0" xfId="0" applyFont="1" applyFill="1" applyBorder="1"/>
    <xf numFmtId="0" fontId="22" fillId="0" borderId="12" xfId="0" applyFont="1" applyFill="1" applyBorder="1"/>
    <xf numFmtId="0" fontId="21" fillId="0" borderId="1" xfId="0" applyFont="1" applyFill="1" applyBorder="1" applyAlignment="1">
      <alignment horizontal="center"/>
    </xf>
    <xf numFmtId="0" fontId="22" fillId="0" borderId="1" xfId="0" applyFont="1" applyFill="1" applyBorder="1"/>
    <xf numFmtId="167" fontId="22" fillId="0" borderId="1" xfId="0" applyNumberFormat="1" applyFont="1" applyFill="1" applyBorder="1" applyAlignment="1">
      <alignment horizontal="center"/>
    </xf>
    <xf numFmtId="167" fontId="22" fillId="0" borderId="1" xfId="0" applyNumberFormat="1" applyFont="1" applyFill="1" applyBorder="1"/>
    <xf numFmtId="167" fontId="22" fillId="3" borderId="1" xfId="0" applyNumberFormat="1" applyFont="1" applyFill="1" applyBorder="1"/>
    <xf numFmtId="167" fontId="22" fillId="0" borderId="1" xfId="2" applyNumberFormat="1" applyFont="1" applyFill="1" applyBorder="1"/>
    <xf numFmtId="167" fontId="27" fillId="0" borderId="1" xfId="0" applyNumberFormat="1" applyFont="1" applyFill="1" applyBorder="1" applyAlignment="1">
      <alignment horizontal="center"/>
    </xf>
    <xf numFmtId="167" fontId="27" fillId="0" borderId="1" xfId="0" applyNumberFormat="1" applyFont="1" applyFill="1" applyBorder="1"/>
    <xf numFmtId="167" fontId="27" fillId="3" borderId="1" xfId="0" applyNumberFormat="1" applyFont="1" applyFill="1" applyBorder="1"/>
    <xf numFmtId="167" fontId="27" fillId="0" borderId="1" xfId="2" applyNumberFormat="1" applyFont="1" applyFill="1" applyBorder="1"/>
    <xf numFmtId="166" fontId="28" fillId="0" borderId="1" xfId="0" applyNumberFormat="1" applyFont="1" applyFill="1" applyBorder="1"/>
    <xf numFmtId="166" fontId="21" fillId="0" borderId="0" xfId="0" applyNumberFormat="1" applyFont="1" applyFill="1" applyBorder="1"/>
    <xf numFmtId="166" fontId="21" fillId="3" borderId="0" xfId="0" applyNumberFormat="1" applyFont="1" applyFill="1" applyBorder="1"/>
    <xf numFmtId="166" fontId="22" fillId="0" borderId="0" xfId="0" applyNumberFormat="1" applyFont="1" applyFill="1"/>
    <xf numFmtId="0" fontId="22" fillId="0" borderId="4" xfId="0" applyFont="1" applyFill="1" applyBorder="1" applyAlignment="1">
      <alignment horizontal="center"/>
    </xf>
    <xf numFmtId="167" fontId="25" fillId="0" borderId="4" xfId="2" applyFont="1" applyFill="1" applyBorder="1" applyAlignment="1">
      <alignment horizontal="center"/>
    </xf>
    <xf numFmtId="167" fontId="25" fillId="0" borderId="7" xfId="2" applyFont="1" applyFill="1" applyBorder="1" applyAlignment="1">
      <alignment horizontal="center"/>
    </xf>
    <xf numFmtId="167" fontId="25" fillId="0" borderId="8" xfId="2" applyFont="1" applyFill="1" applyBorder="1" applyAlignment="1">
      <alignment horizontal="center"/>
    </xf>
    <xf numFmtId="167" fontId="22" fillId="0" borderId="1" xfId="2" applyFont="1" applyFill="1" applyBorder="1" applyAlignment="1">
      <alignment horizontal="center"/>
    </xf>
    <xf numFmtId="167" fontId="22" fillId="0" borderId="14" xfId="2" applyFont="1" applyFill="1" applyBorder="1"/>
    <xf numFmtId="167" fontId="22" fillId="0" borderId="15" xfId="2" applyFont="1" applyFill="1" applyBorder="1"/>
    <xf numFmtId="0" fontId="21" fillId="0" borderId="0" xfId="0" applyFont="1" applyFill="1" applyBorder="1" applyAlignment="1">
      <alignment horizontal="center"/>
    </xf>
    <xf numFmtId="167" fontId="27" fillId="0" borderId="1" xfId="2" applyFont="1" applyFill="1" applyBorder="1" applyAlignment="1">
      <alignment horizontal="right"/>
    </xf>
    <xf numFmtId="167" fontId="27" fillId="0" borderId="1" xfId="2" applyFont="1" applyFill="1" applyBorder="1"/>
    <xf numFmtId="167" fontId="27" fillId="3" borderId="1" xfId="2" applyFont="1" applyFill="1" applyBorder="1"/>
    <xf numFmtId="167" fontId="28" fillId="0" borderId="1" xfId="2" applyFont="1" applyFill="1" applyBorder="1"/>
    <xf numFmtId="166" fontId="22" fillId="0" borderId="9" xfId="0" applyNumberFormat="1" applyFont="1" applyFill="1" applyBorder="1"/>
    <xf numFmtId="0" fontId="25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6" fontId="22" fillId="3" borderId="1" xfId="0" applyNumberFormat="1" applyFont="1" applyFill="1" applyBorder="1"/>
    <xf numFmtId="0" fontId="22" fillId="0" borderId="10" xfId="0" applyFont="1" applyFill="1" applyBorder="1"/>
    <xf numFmtId="166" fontId="27" fillId="0" borderId="1" xfId="0" applyNumberFormat="1" applyFont="1" applyFill="1" applyBorder="1" applyAlignment="1">
      <alignment horizontal="center"/>
    </xf>
    <xf numFmtId="166" fontId="27" fillId="0" borderId="1" xfId="0" applyNumberFormat="1" applyFont="1" applyFill="1" applyBorder="1"/>
    <xf numFmtId="166" fontId="27" fillId="3" borderId="1" xfId="0" applyNumberFormat="1" applyFont="1" applyFill="1" applyBorder="1"/>
    <xf numFmtId="166" fontId="27" fillId="0" borderId="1" xfId="2" applyNumberFormat="1" applyFont="1" applyFill="1" applyBorder="1"/>
    <xf numFmtId="0" fontId="22" fillId="0" borderId="3" xfId="0" applyFont="1" applyFill="1" applyBorder="1"/>
    <xf numFmtId="0" fontId="25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left" wrapText="1"/>
    </xf>
    <xf numFmtId="0" fontId="22" fillId="0" borderId="1" xfId="0" applyFont="1" applyFill="1" applyBorder="1" applyAlignment="1">
      <alignment horizontal="center" wrapText="1"/>
    </xf>
    <xf numFmtId="166" fontId="22" fillId="0" borderId="1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166" fontId="27" fillId="0" borderId="1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25" fillId="0" borderId="1" xfId="0" applyFont="1" applyFill="1" applyBorder="1"/>
    <xf numFmtId="0" fontId="24" fillId="0" borderId="1" xfId="0" applyFont="1" applyFill="1" applyBorder="1"/>
    <xf numFmtId="167" fontId="24" fillId="3" borderId="1" xfId="2" applyFont="1" applyFill="1" applyBorder="1"/>
    <xf numFmtId="0" fontId="22" fillId="0" borderId="5" xfId="0" applyFont="1" applyFill="1" applyBorder="1"/>
    <xf numFmtId="166" fontId="21" fillId="0" borderId="1" xfId="0" applyNumberFormat="1" applyFont="1" applyFill="1" applyBorder="1" applyAlignment="1">
      <alignment horizontal="center"/>
    </xf>
    <xf numFmtId="166" fontId="21" fillId="3" borderId="1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horizontal="left"/>
    </xf>
    <xf numFmtId="168" fontId="22" fillId="3" borderId="1" xfId="2" applyNumberFormat="1" applyFont="1" applyFill="1" applyBorder="1" applyAlignment="1">
      <alignment horizontal="center"/>
    </xf>
    <xf numFmtId="168" fontId="22" fillId="0" borderId="1" xfId="2" applyNumberFormat="1" applyFont="1" applyFill="1" applyBorder="1" applyAlignment="1">
      <alignment horizontal="center"/>
    </xf>
    <xf numFmtId="166" fontId="22" fillId="0" borderId="1" xfId="2" applyNumberFormat="1" applyFont="1" applyFill="1" applyBorder="1" applyAlignment="1">
      <alignment horizontal="right"/>
    </xf>
    <xf numFmtId="166" fontId="22" fillId="3" borderId="1" xfId="2" applyNumberFormat="1" applyFont="1" applyFill="1" applyBorder="1" applyAlignment="1">
      <alignment horizontal="right"/>
    </xf>
    <xf numFmtId="0" fontId="22" fillId="0" borderId="9" xfId="0" applyFont="1" applyFill="1" applyBorder="1" applyAlignment="1">
      <alignment wrapText="1"/>
    </xf>
    <xf numFmtId="166" fontId="21" fillId="0" borderId="4" xfId="0" applyNumberFormat="1" applyFont="1" applyFill="1" applyBorder="1" applyAlignment="1">
      <alignment horizontal="center"/>
    </xf>
    <xf numFmtId="166" fontId="21" fillId="3" borderId="4" xfId="0" applyNumberFormat="1" applyFont="1" applyFill="1" applyBorder="1" applyAlignment="1">
      <alignment horizontal="center"/>
    </xf>
    <xf numFmtId="0" fontId="24" fillId="3" borderId="0" xfId="0" applyFont="1" applyFill="1" applyBorder="1"/>
    <xf numFmtId="0" fontId="22" fillId="0" borderId="9" xfId="0" applyFont="1" applyFill="1" applyBorder="1"/>
    <xf numFmtId="166" fontId="21" fillId="0" borderId="10" xfId="0" applyNumberFormat="1" applyFont="1" applyFill="1" applyBorder="1" applyAlignment="1">
      <alignment horizontal="center"/>
    </xf>
    <xf numFmtId="166" fontId="21" fillId="0" borderId="9" xfId="0" applyNumberFormat="1" applyFont="1" applyFill="1" applyBorder="1"/>
    <xf numFmtId="166" fontId="21" fillId="0" borderId="10" xfId="0" applyNumberFormat="1" applyFont="1" applyFill="1" applyBorder="1"/>
    <xf numFmtId="166" fontId="21" fillId="0" borderId="11" xfId="0" applyNumberFormat="1" applyFont="1" applyFill="1" applyBorder="1"/>
    <xf numFmtId="166" fontId="22" fillId="0" borderId="11" xfId="0" applyNumberFormat="1" applyFont="1" applyFill="1" applyBorder="1"/>
    <xf numFmtId="0" fontId="24" fillId="0" borderId="6" xfId="0" applyFont="1" applyFill="1" applyBorder="1"/>
    <xf numFmtId="166" fontId="21" fillId="0" borderId="0" xfId="0" applyNumberFormat="1" applyFont="1" applyFill="1" applyBorder="1" applyAlignment="1">
      <alignment horizontal="center"/>
    </xf>
    <xf numFmtId="166" fontId="21" fillId="3" borderId="0" xfId="0" applyNumberFormat="1" applyFont="1" applyFill="1" applyBorder="1" applyAlignment="1">
      <alignment horizontal="center"/>
    </xf>
    <xf numFmtId="0" fontId="29" fillId="0" borderId="0" xfId="0" applyFont="1" applyFill="1"/>
    <xf numFmtId="0" fontId="23" fillId="0" borderId="0" xfId="0" applyFont="1" applyFill="1" applyBorder="1" applyAlignment="1">
      <alignment horizontal="center"/>
    </xf>
    <xf numFmtId="166" fontId="29" fillId="0" borderId="0" xfId="0" applyNumberFormat="1" applyFont="1" applyFill="1" applyBorder="1" applyAlignment="1">
      <alignment horizontal="center"/>
    </xf>
    <xf numFmtId="167" fontId="29" fillId="3" borderId="0" xfId="0" applyNumberFormat="1" applyFont="1" applyFill="1" applyBorder="1" applyAlignment="1">
      <alignment horizontal="center"/>
    </xf>
    <xf numFmtId="166" fontId="23" fillId="3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wrapText="1"/>
    </xf>
    <xf numFmtId="0" fontId="23" fillId="0" borderId="0" xfId="0" applyFont="1" applyFill="1" applyAlignment="1">
      <alignment horizontal="center"/>
    </xf>
    <xf numFmtId="166" fontId="23" fillId="3" borderId="0" xfId="0" applyNumberFormat="1" applyFont="1" applyFill="1"/>
    <xf numFmtId="0" fontId="30" fillId="0" borderId="19" xfId="3" applyFill="1" applyBorder="1"/>
    <xf numFmtId="0" fontId="30" fillId="0" borderId="20" xfId="3" applyFill="1" applyBorder="1"/>
    <xf numFmtId="0" fontId="30" fillId="0" borderId="21" xfId="3" applyFill="1" applyBorder="1"/>
    <xf numFmtId="0" fontId="30" fillId="0" borderId="22" xfId="3" applyFill="1" applyBorder="1"/>
    <xf numFmtId="0" fontId="30" fillId="0" borderId="0" xfId="3" applyFill="1" applyBorder="1"/>
    <xf numFmtId="0" fontId="30" fillId="0" borderId="23" xfId="3" applyFill="1" applyBorder="1"/>
    <xf numFmtId="0" fontId="31" fillId="0" borderId="0" xfId="3" applyFont="1" applyFill="1" applyBorder="1" applyAlignment="1">
      <alignment horizontal="center"/>
    </xf>
    <xf numFmtId="0" fontId="30" fillId="0" borderId="0" xfId="3" applyFill="1" applyBorder="1" applyAlignment="1"/>
    <xf numFmtId="0" fontId="32" fillId="0" borderId="22" xfId="3" applyFont="1" applyFill="1" applyBorder="1" applyAlignment="1">
      <alignment horizontal="center"/>
    </xf>
    <xf numFmtId="0" fontId="32" fillId="0" borderId="0" xfId="3" applyFont="1" applyFill="1" applyBorder="1" applyAlignment="1">
      <alignment horizontal="center"/>
    </xf>
    <xf numFmtId="0" fontId="32" fillId="0" borderId="23" xfId="3" applyFont="1" applyFill="1" applyBorder="1" applyAlignment="1">
      <alignment horizontal="center"/>
    </xf>
    <xf numFmtId="0" fontId="33" fillId="0" borderId="22" xfId="3" applyFont="1" applyFill="1" applyBorder="1" applyAlignment="1">
      <alignment horizontal="center"/>
    </xf>
    <xf numFmtId="0" fontId="33" fillId="0" borderId="0" xfId="3" applyFont="1" applyFill="1" applyBorder="1" applyAlignment="1">
      <alignment horizontal="center"/>
    </xf>
    <xf numFmtId="0" fontId="33" fillId="0" borderId="23" xfId="3" applyFont="1" applyFill="1" applyBorder="1" applyAlignment="1">
      <alignment horizontal="center"/>
    </xf>
    <xf numFmtId="0" fontId="34" fillId="0" borderId="22" xfId="3" applyFont="1" applyFill="1" applyBorder="1" applyAlignment="1">
      <alignment horizontal="center"/>
    </xf>
    <xf numFmtId="0" fontId="34" fillId="0" borderId="0" xfId="3" applyFont="1" applyFill="1" applyBorder="1" applyAlignment="1">
      <alignment horizontal="center"/>
    </xf>
    <xf numFmtId="0" fontId="34" fillId="0" borderId="23" xfId="3" applyFont="1" applyFill="1" applyBorder="1" applyAlignment="1">
      <alignment horizontal="center"/>
    </xf>
    <xf numFmtId="0" fontId="33" fillId="0" borderId="0" xfId="3" quotePrefix="1" applyFont="1" applyFill="1" applyBorder="1" applyAlignment="1">
      <alignment horizontal="center"/>
    </xf>
    <xf numFmtId="0" fontId="35" fillId="0" borderId="0" xfId="3" quotePrefix="1" applyFont="1" applyFill="1" applyBorder="1" applyAlignment="1">
      <alignment horizontal="center"/>
    </xf>
    <xf numFmtId="0" fontId="36" fillId="0" borderId="0" xfId="3" applyFont="1" applyFill="1" applyBorder="1"/>
    <xf numFmtId="0" fontId="33" fillId="0" borderId="23" xfId="3" quotePrefix="1" applyFont="1" applyFill="1" applyBorder="1" applyAlignment="1">
      <alignment horizontal="center"/>
    </xf>
    <xf numFmtId="0" fontId="30" fillId="0" borderId="24" xfId="3" applyFill="1" applyBorder="1"/>
    <xf numFmtId="0" fontId="30" fillId="0" borderId="25" xfId="3" applyFill="1" applyBorder="1"/>
    <xf numFmtId="0" fontId="30" fillId="2" borderId="0" xfId="3" applyFill="1"/>
    <xf numFmtId="0" fontId="30" fillId="0" borderId="26" xfId="3" applyFill="1" applyBorder="1"/>
    <xf numFmtId="0" fontId="38" fillId="4" borderId="0" xfId="0" applyFont="1" applyFill="1"/>
    <xf numFmtId="0" fontId="38" fillId="0" borderId="0" xfId="0" applyFont="1"/>
    <xf numFmtId="0" fontId="39" fillId="0" borderId="0" xfId="0" applyFont="1"/>
    <xf numFmtId="0" fontId="39" fillId="4" borderId="0" xfId="0" applyFont="1" applyFill="1"/>
    <xf numFmtId="0" fontId="40" fillId="0" borderId="0" xfId="0" applyFont="1"/>
    <xf numFmtId="0" fontId="39" fillId="0" borderId="4" xfId="0" applyFont="1" applyFill="1" applyBorder="1"/>
    <xf numFmtId="0" fontId="40" fillId="0" borderId="4" xfId="0" applyFont="1" applyBorder="1" applyAlignment="1">
      <alignment horizontal="right"/>
    </xf>
    <xf numFmtId="0" fontId="40" fillId="0" borderId="5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0" fillId="0" borderId="4" xfId="0" quotePrefix="1" applyFont="1" applyBorder="1" applyAlignment="1">
      <alignment horizontal="center"/>
    </xf>
    <xf numFmtId="0" fontId="40" fillId="0" borderId="0" xfId="0" applyFont="1" applyAlignment="1">
      <alignment horizontal="center"/>
    </xf>
    <xf numFmtId="0" fontId="39" fillId="0" borderId="10" xfId="0" applyFont="1" applyFill="1" applyBorder="1"/>
    <xf numFmtId="0" fontId="40" fillId="0" borderId="3" xfId="0" applyFont="1" applyBorder="1" applyAlignment="1">
      <alignment horizontal="right"/>
    </xf>
    <xf numFmtId="0" fontId="40" fillId="0" borderId="6" xfId="0" applyFont="1" applyBorder="1" applyAlignment="1">
      <alignment horizontal="center"/>
    </xf>
    <xf numFmtId="0" fontId="40" fillId="0" borderId="3" xfId="0" applyFont="1" applyBorder="1" applyAlignment="1">
      <alignment horizontal="center"/>
    </xf>
    <xf numFmtId="41" fontId="39" fillId="0" borderId="10" xfId="0" applyNumberFormat="1" applyFont="1" applyBorder="1"/>
    <xf numFmtId="41" fontId="39" fillId="0" borderId="0" xfId="0" applyNumberFormat="1" applyFont="1"/>
    <xf numFmtId="0" fontId="39" fillId="0" borderId="0" xfId="0" applyFont="1" applyAlignment="1">
      <alignment horizontal="center"/>
    </xf>
    <xf numFmtId="41" fontId="38" fillId="0" borderId="10" xfId="2" applyNumberFormat="1" applyFont="1" applyBorder="1"/>
    <xf numFmtId="41" fontId="39" fillId="0" borderId="0" xfId="2" applyNumberFormat="1" applyFont="1"/>
    <xf numFmtId="41" fontId="39" fillId="0" borderId="10" xfId="2" applyNumberFormat="1" applyFont="1" applyBorder="1"/>
    <xf numFmtId="41" fontId="38" fillId="0" borderId="10" xfId="2" applyNumberFormat="1" applyFont="1" applyFill="1" applyBorder="1"/>
    <xf numFmtId="43" fontId="38" fillId="0" borderId="0" xfId="2" applyNumberFormat="1" applyFont="1"/>
    <xf numFmtId="41" fontId="39" fillId="0" borderId="10" xfId="2" applyNumberFormat="1" applyFont="1" applyFill="1" applyBorder="1"/>
    <xf numFmtId="43" fontId="37" fillId="0" borderId="0" xfId="2" applyNumberFormat="1" applyFont="1"/>
    <xf numFmtId="43" fontId="41" fillId="0" borderId="0" xfId="2" applyNumberFormat="1" applyFont="1"/>
    <xf numFmtId="41" fontId="39" fillId="0" borderId="27" xfId="2" applyNumberFormat="1" applyFont="1" applyFill="1" applyBorder="1"/>
    <xf numFmtId="41" fontId="39" fillId="0" borderId="0" xfId="2" applyNumberFormat="1" applyFont="1" applyFill="1" applyBorder="1"/>
    <xf numFmtId="41" fontId="39" fillId="0" borderId="0" xfId="2" applyNumberFormat="1" applyFont="1" applyFill="1"/>
    <xf numFmtId="0" fontId="38" fillId="0" borderId="0" xfId="0" applyFont="1" applyFill="1"/>
    <xf numFmtId="41" fontId="39" fillId="0" borderId="28" xfId="2" applyNumberFormat="1" applyFont="1" applyBorder="1"/>
    <xf numFmtId="41" fontId="38" fillId="0" borderId="0" xfId="2" applyNumberFormat="1" applyFont="1" applyBorder="1"/>
    <xf numFmtId="0" fontId="39" fillId="0" borderId="0" xfId="0" applyFont="1" applyFill="1"/>
    <xf numFmtId="41" fontId="39" fillId="3" borderId="28" xfId="2" applyNumberFormat="1" applyFont="1" applyFill="1" applyBorder="1"/>
    <xf numFmtId="41" fontId="39" fillId="3" borderId="0" xfId="2" applyNumberFormat="1" applyFont="1" applyFill="1" applyBorder="1"/>
    <xf numFmtId="0" fontId="38" fillId="3" borderId="0" xfId="0" applyFont="1" applyFill="1"/>
    <xf numFmtId="0" fontId="38" fillId="0" borderId="4" xfId="0" applyFont="1" applyFill="1" applyBorder="1"/>
    <xf numFmtId="41" fontId="39" fillId="0" borderId="5" xfId="2" applyNumberFormat="1" applyFont="1" applyFill="1" applyBorder="1"/>
    <xf numFmtId="41" fontId="39" fillId="0" borderId="8" xfId="2" applyNumberFormat="1" applyFont="1" applyFill="1" applyBorder="1"/>
    <xf numFmtId="0" fontId="38" fillId="0" borderId="10" xfId="0" applyFont="1" applyFill="1" applyBorder="1"/>
    <xf numFmtId="41" fontId="39" fillId="0" borderId="6" xfId="2" applyNumberFormat="1" applyFont="1" applyFill="1" applyBorder="1"/>
    <xf numFmtId="41" fontId="39" fillId="0" borderId="13" xfId="2" applyNumberFormat="1" applyFont="1" applyFill="1" applyBorder="1"/>
    <xf numFmtId="41" fontId="38" fillId="0" borderId="0" xfId="2" applyNumberFormat="1" applyFont="1" applyFill="1" applyBorder="1"/>
    <xf numFmtId="41" fontId="38" fillId="0" borderId="11" xfId="2" applyNumberFormat="1" applyFont="1" applyFill="1" applyBorder="1"/>
    <xf numFmtId="41" fontId="38" fillId="0" borderId="6" xfId="2" applyNumberFormat="1" applyFont="1" applyFill="1" applyBorder="1"/>
    <xf numFmtId="41" fontId="38" fillId="0" borderId="13" xfId="2" applyNumberFormat="1" applyFont="1" applyFill="1" applyBorder="1"/>
    <xf numFmtId="0" fontId="38" fillId="0" borderId="3" xfId="0" applyFont="1" applyFill="1" applyBorder="1"/>
    <xf numFmtId="41" fontId="39" fillId="3" borderId="29" xfId="2" applyNumberFormat="1" applyFont="1" applyFill="1" applyBorder="1"/>
    <xf numFmtId="41" fontId="38" fillId="0" borderId="0" xfId="2" applyNumberFormat="1" applyFont="1"/>
    <xf numFmtId="41" fontId="42" fillId="0" borderId="0" xfId="2" applyNumberFormat="1" applyFont="1"/>
    <xf numFmtId="41" fontId="38" fillId="0" borderId="0" xfId="0" applyNumberFormat="1" applyFont="1"/>
    <xf numFmtId="0" fontId="39" fillId="0" borderId="0" xfId="0" applyFont="1" applyFill="1" applyAlignment="1">
      <alignment horizontal="left"/>
    </xf>
    <xf numFmtId="0" fontId="40" fillId="0" borderId="0" xfId="0" applyFont="1" applyFill="1"/>
    <xf numFmtId="0" fontId="39" fillId="0" borderId="0" xfId="0" applyFont="1" applyAlignment="1">
      <alignment horizontal="left"/>
    </xf>
    <xf numFmtId="0" fontId="43" fillId="0" borderId="0" xfId="0" applyFont="1"/>
    <xf numFmtId="0" fontId="39" fillId="0" borderId="30" xfId="0" applyFont="1" applyFill="1" applyBorder="1"/>
    <xf numFmtId="0" fontId="38" fillId="0" borderId="31" xfId="0" applyFont="1" applyFill="1" applyBorder="1"/>
    <xf numFmtId="0" fontId="38" fillId="0" borderId="32" xfId="0" applyFont="1" applyBorder="1"/>
    <xf numFmtId="0" fontId="38" fillId="0" borderId="33" xfId="0" applyFont="1" applyBorder="1"/>
    <xf numFmtId="0" fontId="39" fillId="0" borderId="34" xfId="0" applyFont="1" applyBorder="1"/>
    <xf numFmtId="0" fontId="38" fillId="0" borderId="0" xfId="0" applyFont="1" applyBorder="1"/>
    <xf numFmtId="0" fontId="38" fillId="0" borderId="35" xfId="0" applyFont="1" applyBorder="1"/>
    <xf numFmtId="0" fontId="39" fillId="0" borderId="36" xfId="0" applyFont="1" applyBorder="1"/>
    <xf numFmtId="0" fontId="38" fillId="0" borderId="37" xfId="0" applyFont="1" applyFill="1" applyBorder="1"/>
    <xf numFmtId="0" fontId="39" fillId="0" borderId="38" xfId="0" applyFont="1" applyBorder="1"/>
    <xf numFmtId="0" fontId="38" fillId="0" borderId="29" xfId="0" applyFont="1" applyBorder="1"/>
    <xf numFmtId="0" fontId="38" fillId="0" borderId="39" xfId="0" applyFont="1" applyBorder="1"/>
    <xf numFmtId="0" fontId="39" fillId="0" borderId="31" xfId="0" applyFont="1" applyFill="1" applyBorder="1"/>
    <xf numFmtId="0" fontId="38" fillId="0" borderId="38" xfId="0" applyFont="1" applyBorder="1"/>
    <xf numFmtId="0" fontId="38" fillId="0" borderId="36" xfId="0" applyFont="1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31" fillId="0" borderId="22" xfId="3" applyFont="1" applyFill="1" applyBorder="1" applyAlignment="1">
      <alignment horizontal="center"/>
    </xf>
    <xf numFmtId="0" fontId="31" fillId="0" borderId="0" xfId="3" applyFont="1" applyFill="1" applyBorder="1" applyAlignment="1">
      <alignment horizontal="center"/>
    </xf>
    <xf numFmtId="0" fontId="31" fillId="0" borderId="23" xfId="3" applyFont="1" applyFill="1" applyBorder="1" applyAlignment="1">
      <alignment horizontal="center"/>
    </xf>
    <xf numFmtId="0" fontId="39" fillId="0" borderId="0" xfId="0" applyFont="1" applyAlignment="1">
      <alignment horizontal="center"/>
    </xf>
    <xf numFmtId="0" fontId="38" fillId="0" borderId="0" xfId="0" applyFont="1" applyAlignment="1"/>
    <xf numFmtId="0" fontId="21" fillId="0" borderId="6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 indent="5"/>
    </xf>
    <xf numFmtId="164" fontId="8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</cellXfs>
  <cellStyles count="4">
    <cellStyle name="Comma" xfId="2" builtinId="3"/>
    <cellStyle name="Normal" xfId="0" builtinId="0"/>
    <cellStyle name="Normal 2" xfId="1"/>
    <cellStyle name="Normal_Financial Statements 30 June 200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23</xdr:row>
      <xdr:rowOff>228600</xdr:rowOff>
    </xdr:from>
    <xdr:to>
      <xdr:col>9</xdr:col>
      <xdr:colOff>85726</xdr:colOff>
      <xdr:row>42</xdr:row>
      <xdr:rowOff>0</xdr:rowOff>
    </xdr:to>
    <xdr:pic>
      <xdr:nvPicPr>
        <xdr:cNvPr id="2" name="Picture 1" descr="墴ʊ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8950" y="5505450"/>
          <a:ext cx="3914776" cy="366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2838450</xdr:colOff>
      <xdr:row>0</xdr:row>
      <xdr:rowOff>66676</xdr:rowOff>
    </xdr:from>
    <xdr:to>
      <xdr:col>2</xdr:col>
      <xdr:colOff>152401</xdr:colOff>
      <xdr:row>5</xdr:row>
      <xdr:rowOff>9525</xdr:rowOff>
    </xdr:to>
    <xdr:pic>
      <xdr:nvPicPr>
        <xdr:cNvPr id="2" name="Picture 1" descr="墴ʊ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95650" y="66676"/>
          <a:ext cx="1019176" cy="8477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2838450</xdr:colOff>
      <xdr:row>0</xdr:row>
      <xdr:rowOff>66676</xdr:rowOff>
    </xdr:from>
    <xdr:to>
      <xdr:col>2</xdr:col>
      <xdr:colOff>152401</xdr:colOff>
      <xdr:row>5</xdr:row>
      <xdr:rowOff>9525</xdr:rowOff>
    </xdr:to>
    <xdr:pic>
      <xdr:nvPicPr>
        <xdr:cNvPr id="3" name="Picture 2" descr="墴ʊ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95650" y="66676"/>
          <a:ext cx="1019176" cy="8477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IVUYI~1.UMU/LOCALS~1/Temp/IM/2009-2010%20MTRF%20BUDGET%20-%20Adju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EXUCUTIVE SUMMARY"/>
      <sheetName val="EXP VOTE"/>
      <sheetName val="EXP GFS"/>
      <sheetName val="REV SOURCE"/>
      <sheetName val="REV GFS"/>
      <sheetName val="EQUIT SHARE"/>
      <sheetName val="SUMMARY SALARIES"/>
      <sheetName val="CASHFLOW"/>
      <sheetName val="SUMMARY I&amp; E 2009-2010"/>
      <sheetName val="BUDGET SUMMARY 10-11"/>
      <sheetName val="OPEX"/>
      <sheetName val="CAPEX"/>
      <sheetName val="COUNCILLORS"/>
      <sheetName val="STAFF SALARIES SUMMARY"/>
      <sheetName val="FINANCE"/>
      <sheetName val="CORPORATE SERVICES"/>
      <sheetName val="TECHNICAL SERVICES"/>
      <sheetName val="MUNICIPAL MANAGER"/>
      <sheetName val="TARIF CHARG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9">
          <cell r="F29">
            <v>3087488.05</v>
          </cell>
          <cell r="G29">
            <v>990685.64999999991</v>
          </cell>
          <cell r="H29">
            <v>280113.12000000005</v>
          </cell>
        </row>
      </sheetData>
      <sheetData sheetId="14" refreshError="1">
        <row r="7">
          <cell r="C7">
            <v>1423668.93</v>
          </cell>
          <cell r="D7">
            <v>164544.23000000001</v>
          </cell>
          <cell r="E7">
            <v>377910</v>
          </cell>
          <cell r="F7">
            <v>20760</v>
          </cell>
          <cell r="H7">
            <v>162688.78</v>
          </cell>
          <cell r="I7">
            <v>103688.78</v>
          </cell>
          <cell r="J7">
            <v>13743.83</v>
          </cell>
          <cell r="K7">
            <v>442</v>
          </cell>
        </row>
        <row r="8">
          <cell r="C8">
            <v>2835669.12</v>
          </cell>
          <cell r="D8">
            <v>236305.76</v>
          </cell>
          <cell r="E8">
            <v>304980</v>
          </cell>
          <cell r="F8">
            <v>33111.839999999997</v>
          </cell>
          <cell r="G8">
            <v>77927.12</v>
          </cell>
          <cell r="H8">
            <v>361999.59</v>
          </cell>
          <cell r="I8">
            <v>221491.84</v>
          </cell>
          <cell r="J8">
            <v>23883.48</v>
          </cell>
          <cell r="K8">
            <v>1105</v>
          </cell>
        </row>
        <row r="9">
          <cell r="C9">
            <v>1510488.44</v>
          </cell>
          <cell r="D9">
            <v>161340.65</v>
          </cell>
          <cell r="E9">
            <v>238680</v>
          </cell>
          <cell r="F9">
            <v>48735.839999999997</v>
          </cell>
          <cell r="G9">
            <v>27572</v>
          </cell>
          <cell r="H9">
            <v>204655.94</v>
          </cell>
          <cell r="I9">
            <v>94364.05</v>
          </cell>
          <cell r="J9">
            <v>15127.92</v>
          </cell>
          <cell r="K9">
            <v>663</v>
          </cell>
        </row>
        <row r="10">
          <cell r="C10">
            <v>121764.06</v>
          </cell>
          <cell r="D10">
            <v>10147.01</v>
          </cell>
          <cell r="F10">
            <v>0</v>
          </cell>
          <cell r="G10">
            <v>18483.54</v>
          </cell>
          <cell r="H10">
            <v>21917.53</v>
          </cell>
          <cell r="I10">
            <v>0</v>
          </cell>
          <cell r="J10">
            <v>1217.6400000000001</v>
          </cell>
          <cell r="K10">
            <v>110.5</v>
          </cell>
        </row>
        <row r="11">
          <cell r="C11">
            <v>280636.63</v>
          </cell>
          <cell r="D11">
            <v>23386.39</v>
          </cell>
          <cell r="E11">
            <v>66300</v>
          </cell>
          <cell r="F11">
            <v>2496</v>
          </cell>
          <cell r="G11">
            <v>0</v>
          </cell>
          <cell r="H11">
            <v>27440.97</v>
          </cell>
          <cell r="I11">
            <v>26382.1</v>
          </cell>
          <cell r="J11">
            <v>1524.5</v>
          </cell>
          <cell r="K11">
            <v>110.5</v>
          </cell>
        </row>
        <row r="12">
          <cell r="C12">
            <v>131391.53</v>
          </cell>
          <cell r="D12">
            <v>10949.29</v>
          </cell>
          <cell r="F12">
            <v>2496</v>
          </cell>
          <cell r="H12">
            <v>23650.47</v>
          </cell>
          <cell r="I12">
            <v>26382.1</v>
          </cell>
          <cell r="J12">
            <v>1313.92</v>
          </cell>
          <cell r="K12">
            <v>55.25</v>
          </cell>
        </row>
        <row r="13">
          <cell r="C13">
            <v>679861.68</v>
          </cell>
          <cell r="D13">
            <v>56655.14</v>
          </cell>
          <cell r="F13">
            <v>2499.56</v>
          </cell>
          <cell r="H13">
            <v>109736.51</v>
          </cell>
          <cell r="I13">
            <v>9316.48</v>
          </cell>
          <cell r="J13">
            <v>6798.62</v>
          </cell>
          <cell r="K13">
            <v>442</v>
          </cell>
        </row>
        <row r="14">
          <cell r="B14">
            <v>5</v>
          </cell>
          <cell r="C14">
            <v>422489.07</v>
          </cell>
          <cell r="D14">
            <v>36060.559999999998</v>
          </cell>
          <cell r="G14">
            <v>40703.46</v>
          </cell>
          <cell r="H14">
            <v>74715.86</v>
          </cell>
          <cell r="I14">
            <v>0</v>
          </cell>
          <cell r="J14">
            <v>4224.8900000000003</v>
          </cell>
          <cell r="K14">
            <v>276.25</v>
          </cell>
        </row>
        <row r="15">
          <cell r="C15">
            <v>289682.73</v>
          </cell>
          <cell r="D15">
            <v>24140.23</v>
          </cell>
          <cell r="F15">
            <v>0</v>
          </cell>
          <cell r="G15">
            <v>48505.74</v>
          </cell>
          <cell r="H15">
            <v>52305.1</v>
          </cell>
          <cell r="I15">
            <v>6691</v>
          </cell>
          <cell r="J15">
            <v>3853.42</v>
          </cell>
          <cell r="K15">
            <v>331.5</v>
          </cell>
        </row>
        <row r="16">
          <cell r="C16">
            <v>1264712.71</v>
          </cell>
          <cell r="D16">
            <v>105392.73</v>
          </cell>
          <cell r="E16">
            <v>66300</v>
          </cell>
          <cell r="F16">
            <v>32179.919999999998</v>
          </cell>
          <cell r="G16">
            <v>304220.71000000002</v>
          </cell>
          <cell r="H16">
            <v>187881.36</v>
          </cell>
          <cell r="I16">
            <v>187881.36</v>
          </cell>
          <cell r="J16">
            <v>12647.13</v>
          </cell>
          <cell r="K16">
            <v>994.5</v>
          </cell>
        </row>
        <row r="17">
          <cell r="C17">
            <v>935233.55</v>
          </cell>
          <cell r="D17">
            <v>77936.13</v>
          </cell>
          <cell r="E17">
            <v>0</v>
          </cell>
          <cell r="F17">
            <v>12499.8</v>
          </cell>
          <cell r="G17">
            <v>203564.33</v>
          </cell>
          <cell r="I17">
            <v>23509.98</v>
          </cell>
          <cell r="J17">
            <v>9352.34</v>
          </cell>
          <cell r="K17">
            <v>884</v>
          </cell>
        </row>
        <row r="18">
          <cell r="C18">
            <v>291779.68</v>
          </cell>
          <cell r="D18">
            <v>24314.97</v>
          </cell>
          <cell r="F18">
            <v>2499.96</v>
          </cell>
          <cell r="G18">
            <v>60987.45</v>
          </cell>
          <cell r="H18">
            <v>52322.94</v>
          </cell>
          <cell r="I18">
            <v>4389.0600000000004</v>
          </cell>
          <cell r="J18">
            <v>2917.8</v>
          </cell>
          <cell r="K18">
            <v>331.5</v>
          </cell>
        </row>
        <row r="19">
          <cell r="C19">
            <v>542574.39</v>
          </cell>
          <cell r="D19">
            <v>45214.53</v>
          </cell>
          <cell r="F19">
            <v>0</v>
          </cell>
          <cell r="G19">
            <v>135643.6</v>
          </cell>
          <cell r="H19">
            <v>95226.21</v>
          </cell>
          <cell r="I19">
            <v>0</v>
          </cell>
          <cell r="J19">
            <v>5425.74</v>
          </cell>
          <cell r="K19">
            <v>552.5</v>
          </cell>
        </row>
        <row r="20">
          <cell r="C20">
            <v>1155048.23</v>
          </cell>
          <cell r="D20">
            <v>131720.63</v>
          </cell>
          <cell r="E20">
            <v>239508.75</v>
          </cell>
          <cell r="F20">
            <v>0</v>
          </cell>
          <cell r="G20">
            <v>0</v>
          </cell>
          <cell r="H20">
            <v>141699.67000000001</v>
          </cell>
          <cell r="I20">
            <v>63437.02</v>
          </cell>
          <cell r="J20">
            <v>11971.49</v>
          </cell>
          <cell r="K20">
            <v>386.75</v>
          </cell>
        </row>
        <row r="21">
          <cell r="C21">
            <v>1349923.15</v>
          </cell>
          <cell r="D21">
            <v>112493.6</v>
          </cell>
          <cell r="E21">
            <v>0</v>
          </cell>
          <cell r="F21">
            <v>2499.96</v>
          </cell>
          <cell r="G21">
            <v>252253.61</v>
          </cell>
          <cell r="H21">
            <v>241014.52</v>
          </cell>
          <cell r="I21">
            <v>0</v>
          </cell>
          <cell r="J21">
            <v>13499.23</v>
          </cell>
          <cell r="K21">
            <v>1491.75</v>
          </cell>
        </row>
        <row r="22">
          <cell r="C22">
            <v>862423.86</v>
          </cell>
          <cell r="D22">
            <v>71868.649999999994</v>
          </cell>
          <cell r="E22">
            <v>66300</v>
          </cell>
          <cell r="F22">
            <v>0</v>
          </cell>
          <cell r="G22">
            <v>177322.17</v>
          </cell>
          <cell r="H22">
            <v>155263.29</v>
          </cell>
          <cell r="I22">
            <v>76476.899999999994</v>
          </cell>
          <cell r="K22">
            <v>663</v>
          </cell>
        </row>
        <row r="23">
          <cell r="C23">
            <v>95659.76</v>
          </cell>
          <cell r="D23">
            <v>7971.65</v>
          </cell>
          <cell r="F23">
            <v>0</v>
          </cell>
          <cell r="G23">
            <v>23914.94</v>
          </cell>
          <cell r="H23">
            <v>17218.759999999998</v>
          </cell>
          <cell r="I23">
            <v>0</v>
          </cell>
          <cell r="J23">
            <v>956.6</v>
          </cell>
          <cell r="K23">
            <v>110.5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oncourse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Concourse">
      <a:maj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ajorFont>
      <a:min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inorFont>
    </a:fontScheme>
    <a:fmtScheme name="Concours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65000" b="98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10000"/>
              </a:schemeClr>
              <a:schemeClr val="phClr">
                <a:tint val="95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7"/>
  <sheetViews>
    <sheetView topLeftCell="A58" workbookViewId="0">
      <selection activeCell="A57" sqref="A57"/>
    </sheetView>
  </sheetViews>
  <sheetFormatPr defaultRowHeight="14.25"/>
  <sheetData>
    <row r="1" spans="1:12" ht="15" thickTop="1">
      <c r="A1" s="332"/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4"/>
    </row>
    <row r="2" spans="1:12">
      <c r="A2" s="335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7"/>
    </row>
    <row r="3" spans="1:12">
      <c r="A3" s="335"/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7"/>
    </row>
    <row r="4" spans="1:12">
      <c r="A4" s="335"/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7"/>
    </row>
    <row r="5" spans="1:12">
      <c r="A5" s="335"/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7"/>
    </row>
    <row r="6" spans="1:12">
      <c r="A6" s="335"/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7"/>
    </row>
    <row r="7" spans="1:12">
      <c r="A7" s="335"/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7"/>
    </row>
    <row r="8" spans="1:12" ht="27.75">
      <c r="A8" s="433"/>
      <c r="B8" s="434"/>
      <c r="C8" s="434"/>
      <c r="D8" s="434"/>
      <c r="E8" s="434"/>
      <c r="F8" s="434"/>
      <c r="G8" s="434"/>
      <c r="H8" s="434"/>
      <c r="I8" s="434"/>
      <c r="J8" s="434"/>
      <c r="K8" s="434"/>
      <c r="L8" s="435"/>
    </row>
    <row r="9" spans="1:12" ht="27.75">
      <c r="A9" s="335"/>
      <c r="B9" s="336"/>
      <c r="C9" s="336"/>
      <c r="D9" s="336"/>
      <c r="E9" s="336"/>
      <c r="F9" s="336"/>
      <c r="G9" s="336"/>
      <c r="H9" s="336"/>
      <c r="I9" s="336"/>
      <c r="J9" s="338"/>
      <c r="K9" s="338"/>
      <c r="L9" s="337"/>
    </row>
    <row r="10" spans="1:12">
      <c r="A10" s="335"/>
      <c r="B10" s="336"/>
      <c r="C10" s="336"/>
      <c r="D10" s="336"/>
      <c r="E10" s="336"/>
      <c r="F10" s="336"/>
      <c r="G10" s="336"/>
      <c r="H10" s="336"/>
      <c r="I10" s="336"/>
      <c r="J10" s="336"/>
      <c r="K10" s="336"/>
      <c r="L10" s="337"/>
    </row>
    <row r="11" spans="1:12">
      <c r="A11" s="335"/>
      <c r="B11" s="336"/>
      <c r="C11" s="336"/>
      <c r="D11" s="336"/>
      <c r="E11" s="336"/>
      <c r="F11" s="336"/>
      <c r="G11" s="336"/>
      <c r="H11" s="336"/>
      <c r="I11" s="336"/>
      <c r="J11" s="336"/>
      <c r="K11" s="336"/>
      <c r="L11" s="337"/>
    </row>
    <row r="12" spans="1:12">
      <c r="A12" s="335"/>
      <c r="B12" s="336"/>
      <c r="C12" s="336"/>
      <c r="D12" s="336"/>
      <c r="E12" s="336"/>
      <c r="F12" s="336"/>
      <c r="G12" s="336"/>
      <c r="H12" s="339"/>
      <c r="I12" s="336"/>
      <c r="J12" s="336"/>
      <c r="K12" s="336"/>
      <c r="L12" s="337"/>
    </row>
    <row r="13" spans="1:12">
      <c r="A13" s="335"/>
      <c r="B13" s="336"/>
      <c r="C13" s="336"/>
      <c r="D13" s="336"/>
      <c r="E13" s="336"/>
      <c r="F13" s="336"/>
      <c r="G13" s="336"/>
      <c r="H13" s="336"/>
      <c r="I13" s="336"/>
      <c r="J13" s="336"/>
      <c r="K13" s="336"/>
      <c r="L13" s="337"/>
    </row>
    <row r="14" spans="1:12" ht="29.25">
      <c r="A14" s="340" t="s">
        <v>577</v>
      </c>
      <c r="B14" s="341"/>
      <c r="J14" s="336"/>
      <c r="K14" s="336"/>
      <c r="L14" s="337"/>
    </row>
    <row r="15" spans="1:12" ht="29.25">
      <c r="A15" s="335"/>
      <c r="B15" s="336"/>
      <c r="C15" s="336"/>
      <c r="D15" s="336"/>
      <c r="E15" s="336"/>
      <c r="F15" s="336"/>
      <c r="G15" s="336"/>
      <c r="H15" s="336"/>
      <c r="I15" s="336"/>
      <c r="J15" s="341"/>
      <c r="K15" s="341"/>
      <c r="L15" s="342"/>
    </row>
    <row r="16" spans="1:12" ht="29.25">
      <c r="A16" s="343"/>
      <c r="B16" s="344"/>
      <c r="C16" s="344"/>
      <c r="D16" s="344"/>
      <c r="E16" s="344"/>
      <c r="F16" s="344"/>
      <c r="G16" s="344"/>
      <c r="H16" s="344"/>
      <c r="I16" s="344"/>
      <c r="J16" s="336"/>
      <c r="K16" s="336"/>
      <c r="L16" s="337"/>
    </row>
    <row r="17" spans="1:12" ht="29.25">
      <c r="A17" s="335"/>
      <c r="B17" s="336"/>
      <c r="C17" s="341"/>
      <c r="D17" s="341"/>
      <c r="E17" s="341"/>
      <c r="G17" s="341"/>
      <c r="H17" s="341"/>
      <c r="I17" s="341"/>
      <c r="J17" s="344"/>
      <c r="K17" s="344"/>
      <c r="L17" s="345"/>
    </row>
    <row r="18" spans="1:12">
      <c r="A18" s="335"/>
      <c r="B18" s="336"/>
      <c r="C18" s="336"/>
      <c r="D18" s="336"/>
      <c r="E18" s="336"/>
      <c r="F18" s="336"/>
      <c r="G18" s="336"/>
      <c r="H18" s="336"/>
      <c r="I18" s="336"/>
      <c r="J18" s="336"/>
      <c r="K18" s="336"/>
      <c r="L18" s="337"/>
    </row>
    <row r="19" spans="1:12">
      <c r="A19" s="335"/>
      <c r="B19" s="336"/>
      <c r="C19" s="336"/>
      <c r="D19" s="336"/>
      <c r="E19" s="336"/>
      <c r="F19" s="336"/>
      <c r="G19" s="336"/>
      <c r="H19" s="336"/>
      <c r="I19" s="336"/>
      <c r="J19" s="336"/>
      <c r="K19" s="336"/>
      <c r="L19" s="337"/>
    </row>
    <row r="20" spans="1:12">
      <c r="A20" s="335"/>
      <c r="B20" s="336"/>
      <c r="C20" s="336"/>
      <c r="D20" s="336"/>
      <c r="E20" s="336"/>
      <c r="F20" s="336"/>
      <c r="G20" s="336"/>
      <c r="H20" s="336"/>
      <c r="I20" s="336"/>
      <c r="J20" s="336"/>
      <c r="K20" s="336"/>
      <c r="L20" s="337"/>
    </row>
    <row r="21" spans="1:12">
      <c r="A21" s="335"/>
      <c r="B21" s="336"/>
      <c r="C21" s="336"/>
      <c r="D21" s="336"/>
      <c r="E21" s="336"/>
      <c r="F21" s="336"/>
      <c r="G21" s="336"/>
      <c r="H21" s="336"/>
      <c r="I21" s="336"/>
      <c r="J21" s="336"/>
      <c r="K21" s="336"/>
      <c r="L21" s="337"/>
    </row>
    <row r="22" spans="1:12">
      <c r="A22" s="335"/>
      <c r="B22" s="336"/>
      <c r="C22" s="336"/>
      <c r="D22" s="336"/>
      <c r="E22" s="336"/>
      <c r="F22" s="336"/>
      <c r="G22" s="336"/>
      <c r="H22" s="336"/>
      <c r="I22" s="336"/>
      <c r="J22" s="336"/>
      <c r="K22" s="336"/>
      <c r="L22" s="337"/>
    </row>
    <row r="23" spans="1:12">
      <c r="A23" s="335"/>
      <c r="B23" s="336"/>
      <c r="C23" s="336"/>
      <c r="D23" s="336"/>
      <c r="E23" s="336"/>
      <c r="F23" s="336"/>
      <c r="G23" s="336"/>
      <c r="H23" s="336"/>
      <c r="I23" s="336"/>
      <c r="J23" s="336"/>
      <c r="K23" s="336"/>
      <c r="L23" s="337"/>
    </row>
    <row r="24" spans="1:12" ht="26.25">
      <c r="A24" s="346"/>
      <c r="B24" s="347"/>
      <c r="C24" s="347"/>
      <c r="D24" s="347"/>
      <c r="E24" s="347"/>
      <c r="F24" s="347"/>
      <c r="G24" s="347"/>
      <c r="H24" s="347"/>
      <c r="I24" s="347"/>
      <c r="J24" s="336"/>
      <c r="K24" s="336"/>
      <c r="L24" s="337"/>
    </row>
    <row r="25" spans="1:12" ht="26.25">
      <c r="A25" s="346"/>
      <c r="B25" s="347"/>
      <c r="C25" s="347"/>
      <c r="D25" s="347"/>
      <c r="E25" s="347"/>
      <c r="F25" s="347"/>
      <c r="G25" s="347"/>
      <c r="H25" s="347"/>
      <c r="I25" s="347"/>
      <c r="J25" s="347"/>
      <c r="K25" s="347"/>
      <c r="L25" s="348"/>
    </row>
    <row r="26" spans="1:12" ht="26.25">
      <c r="A26" s="335"/>
      <c r="B26" s="336"/>
      <c r="C26" s="336"/>
      <c r="D26" s="336"/>
      <c r="E26" s="336"/>
      <c r="F26" s="336"/>
      <c r="G26" s="336"/>
      <c r="H26" s="336"/>
      <c r="I26" s="336"/>
      <c r="J26" s="347"/>
      <c r="K26" s="347"/>
      <c r="L26" s="348"/>
    </row>
    <row r="27" spans="1:12">
      <c r="A27" s="335"/>
      <c r="B27" s="336"/>
      <c r="C27" s="336"/>
      <c r="D27" s="336"/>
      <c r="E27" s="336"/>
      <c r="F27" s="336"/>
      <c r="G27" s="336"/>
      <c r="H27" s="336"/>
      <c r="I27" s="336"/>
      <c r="J27" s="336"/>
      <c r="K27" s="336"/>
      <c r="L27" s="337"/>
    </row>
    <row r="28" spans="1:12">
      <c r="A28" s="335"/>
      <c r="B28" s="336"/>
      <c r="C28" s="336"/>
      <c r="D28" s="336"/>
      <c r="E28" s="336"/>
      <c r="F28" s="336"/>
      <c r="G28" s="336"/>
      <c r="H28" s="336"/>
      <c r="I28" s="336"/>
      <c r="J28" s="336"/>
      <c r="K28" s="336"/>
      <c r="L28" s="337"/>
    </row>
    <row r="29" spans="1:12">
      <c r="A29" s="335"/>
      <c r="B29" s="336"/>
      <c r="C29" s="336"/>
      <c r="D29" s="336"/>
      <c r="E29" s="336"/>
      <c r="F29" s="336"/>
      <c r="G29" s="336"/>
      <c r="H29" s="336"/>
      <c r="I29" s="336"/>
      <c r="J29" s="336"/>
      <c r="K29" s="336"/>
      <c r="L29" s="337"/>
    </row>
    <row r="30" spans="1:12">
      <c r="A30" s="335"/>
      <c r="B30" s="336"/>
      <c r="C30" s="336"/>
      <c r="D30" s="336"/>
      <c r="E30" s="336"/>
      <c r="F30" s="336"/>
      <c r="G30" s="336"/>
      <c r="H30" s="336"/>
      <c r="I30" s="336"/>
      <c r="J30" s="336"/>
      <c r="K30" s="336"/>
      <c r="L30" s="337"/>
    </row>
    <row r="31" spans="1:12">
      <c r="A31" s="335"/>
      <c r="B31" s="336"/>
      <c r="C31" s="336"/>
      <c r="D31" s="336"/>
      <c r="E31" s="336"/>
      <c r="F31" s="336"/>
      <c r="G31" s="336"/>
      <c r="H31" s="336"/>
      <c r="I31" s="336"/>
      <c r="J31" s="336"/>
      <c r="K31" s="336"/>
      <c r="L31" s="337"/>
    </row>
    <row r="32" spans="1:12">
      <c r="A32" s="335"/>
      <c r="B32" s="336"/>
      <c r="C32" s="336"/>
      <c r="D32" s="336"/>
      <c r="E32" s="336"/>
      <c r="F32" s="336"/>
      <c r="G32" s="336"/>
      <c r="H32" s="336"/>
      <c r="I32" s="336"/>
      <c r="J32" s="336"/>
      <c r="K32" s="336"/>
      <c r="L32" s="337"/>
    </row>
    <row r="33" spans="1:12">
      <c r="A33" s="335"/>
      <c r="B33" s="336"/>
      <c r="C33" s="336"/>
      <c r="D33" s="336"/>
      <c r="E33" s="336"/>
      <c r="F33" s="336"/>
      <c r="G33" s="336"/>
      <c r="H33" s="336"/>
      <c r="I33" s="336"/>
      <c r="J33" s="336"/>
      <c r="K33" s="336"/>
      <c r="L33" s="337"/>
    </row>
    <row r="34" spans="1:12">
      <c r="A34" s="335"/>
      <c r="B34" s="336"/>
      <c r="C34" s="336"/>
      <c r="D34" s="336"/>
      <c r="E34" s="336"/>
      <c r="F34" s="336"/>
      <c r="G34" s="336"/>
      <c r="H34" s="336"/>
      <c r="I34" s="336"/>
      <c r="J34" s="336"/>
      <c r="K34" s="336"/>
      <c r="L34" s="337"/>
    </row>
    <row r="35" spans="1:12">
      <c r="A35" s="335"/>
      <c r="B35" s="336"/>
      <c r="C35" s="336"/>
      <c r="D35" s="336"/>
      <c r="E35" s="336"/>
      <c r="F35" s="336"/>
      <c r="G35" s="336"/>
      <c r="H35" s="336"/>
      <c r="I35" s="336"/>
      <c r="J35" s="336"/>
      <c r="K35" s="336"/>
      <c r="L35" s="337"/>
    </row>
    <row r="36" spans="1:12">
      <c r="A36" s="335"/>
      <c r="B36" s="336"/>
      <c r="C36" s="336"/>
      <c r="D36" s="336"/>
      <c r="E36" s="336"/>
      <c r="F36" s="336"/>
      <c r="G36" s="336"/>
      <c r="H36" s="336"/>
      <c r="I36" s="336"/>
      <c r="J36" s="336"/>
      <c r="K36" s="336"/>
      <c r="L36" s="337"/>
    </row>
    <row r="37" spans="1:12">
      <c r="A37" s="335"/>
      <c r="B37" s="336"/>
      <c r="C37" s="336"/>
      <c r="D37" s="336"/>
      <c r="E37" s="336"/>
      <c r="F37" s="336"/>
      <c r="G37" s="336"/>
      <c r="H37" s="336"/>
      <c r="I37" s="336"/>
      <c r="J37" s="336"/>
      <c r="K37" s="336"/>
      <c r="L37" s="337"/>
    </row>
    <row r="38" spans="1:12">
      <c r="A38" s="335"/>
      <c r="B38" s="336"/>
      <c r="C38" s="336"/>
      <c r="D38" s="336"/>
      <c r="E38" s="336"/>
      <c r="F38" s="336"/>
      <c r="G38" s="336"/>
      <c r="H38" s="336"/>
      <c r="I38" s="336"/>
      <c r="J38" s="336"/>
      <c r="K38" s="336"/>
      <c r="L38" s="337"/>
    </row>
    <row r="39" spans="1:12">
      <c r="A39" s="335"/>
      <c r="B39" s="336"/>
      <c r="C39" s="336"/>
      <c r="D39" s="336"/>
      <c r="E39" s="336"/>
      <c r="F39" s="336"/>
      <c r="G39" s="336"/>
      <c r="H39" s="336"/>
      <c r="I39" s="336"/>
      <c r="J39" s="336"/>
      <c r="K39" s="336"/>
      <c r="L39" s="337"/>
    </row>
    <row r="40" spans="1:12">
      <c r="A40" s="335"/>
      <c r="B40" s="336"/>
      <c r="C40" s="336"/>
      <c r="D40" s="336"/>
      <c r="E40" s="336"/>
      <c r="F40" s="336"/>
      <c r="G40" s="336"/>
      <c r="H40" s="336"/>
      <c r="I40" s="336"/>
      <c r="J40" s="336"/>
      <c r="K40" s="336"/>
      <c r="L40" s="337"/>
    </row>
    <row r="41" spans="1:12">
      <c r="A41" s="335"/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7"/>
    </row>
    <row r="42" spans="1:12">
      <c r="A42" s="335"/>
      <c r="B42" s="336"/>
      <c r="C42" s="336"/>
      <c r="D42" s="336"/>
      <c r="E42" s="336"/>
      <c r="F42" s="336"/>
      <c r="G42" s="336"/>
      <c r="H42" s="336"/>
      <c r="I42" s="336"/>
      <c r="J42" s="336"/>
      <c r="K42" s="336"/>
      <c r="L42" s="337"/>
    </row>
    <row r="43" spans="1:12">
      <c r="A43" s="335"/>
      <c r="B43" s="336"/>
      <c r="C43" s="336"/>
      <c r="D43" s="336"/>
      <c r="E43" s="336"/>
      <c r="F43" s="336"/>
      <c r="G43" s="336"/>
      <c r="H43" s="336"/>
      <c r="I43" s="336"/>
      <c r="J43" s="336"/>
      <c r="K43" s="336"/>
      <c r="L43" s="337"/>
    </row>
    <row r="44" spans="1:12">
      <c r="A44" s="335"/>
      <c r="B44" s="336"/>
      <c r="C44" s="336"/>
      <c r="D44" s="336"/>
      <c r="E44" s="336"/>
      <c r="F44" s="336"/>
      <c r="G44" s="336"/>
      <c r="H44" s="336"/>
      <c r="I44" s="336"/>
      <c r="J44" s="336"/>
      <c r="K44" s="336"/>
      <c r="L44" s="337"/>
    </row>
    <row r="45" spans="1:12">
      <c r="A45" s="335" t="s">
        <v>578</v>
      </c>
      <c r="B45" s="336"/>
      <c r="C45" s="336"/>
      <c r="D45" s="336"/>
      <c r="E45" s="336"/>
      <c r="F45" s="336"/>
      <c r="G45" s="336"/>
      <c r="H45" s="336"/>
      <c r="I45" s="336"/>
      <c r="J45" s="336"/>
      <c r="K45" s="336"/>
      <c r="L45" s="337"/>
    </row>
    <row r="46" spans="1:12">
      <c r="A46" s="335"/>
      <c r="B46" s="336"/>
      <c r="C46" s="336"/>
      <c r="D46" s="336"/>
      <c r="E46" s="336"/>
      <c r="F46" s="336"/>
      <c r="G46" s="336"/>
      <c r="H46" s="336"/>
      <c r="I46" s="336"/>
      <c r="J46" s="336"/>
      <c r="K46" s="336"/>
      <c r="L46" s="337"/>
    </row>
    <row r="47" spans="1:12">
      <c r="A47" s="335"/>
      <c r="B47" s="336"/>
      <c r="C47" s="336"/>
      <c r="D47" s="336"/>
      <c r="E47" s="336"/>
      <c r="F47" s="336"/>
      <c r="G47" s="336"/>
      <c r="H47" s="336"/>
      <c r="I47" s="336"/>
      <c r="J47" s="336"/>
      <c r="K47" s="336"/>
      <c r="L47" s="337"/>
    </row>
    <row r="48" spans="1:12">
      <c r="A48" s="335"/>
      <c r="B48" s="336"/>
      <c r="C48" s="336"/>
      <c r="D48" s="336"/>
      <c r="E48" s="336"/>
      <c r="F48" s="336"/>
      <c r="G48" s="336"/>
      <c r="H48" s="336"/>
      <c r="I48" s="336"/>
      <c r="J48" s="336"/>
      <c r="K48" s="336"/>
      <c r="L48" s="337"/>
    </row>
    <row r="49" spans="1:12">
      <c r="A49" s="335"/>
      <c r="B49" s="336"/>
      <c r="C49" s="336"/>
      <c r="D49" s="336"/>
      <c r="E49" s="336"/>
      <c r="F49" s="336"/>
      <c r="G49" s="336"/>
      <c r="H49" s="336"/>
      <c r="I49" s="336"/>
      <c r="J49" s="336"/>
      <c r="K49" s="336"/>
      <c r="L49" s="337"/>
    </row>
    <row r="50" spans="1:12">
      <c r="A50" s="335"/>
      <c r="B50" s="336"/>
      <c r="C50" s="336"/>
      <c r="D50" s="336"/>
      <c r="E50" s="336"/>
      <c r="F50" s="336"/>
      <c r="G50" s="336"/>
      <c r="H50" s="336"/>
      <c r="I50" s="336"/>
      <c r="J50" s="336"/>
      <c r="K50" s="336"/>
      <c r="L50" s="337"/>
    </row>
    <row r="51" spans="1:12">
      <c r="A51" s="335"/>
      <c r="B51" s="336"/>
      <c r="C51" s="336"/>
      <c r="D51" s="336"/>
      <c r="E51" s="336"/>
      <c r="F51" s="336"/>
      <c r="G51" s="336"/>
      <c r="H51" s="336"/>
      <c r="I51" s="336"/>
      <c r="J51" s="336"/>
      <c r="K51" s="336"/>
      <c r="L51" s="337"/>
    </row>
    <row r="52" spans="1:12">
      <c r="A52" s="335"/>
      <c r="B52" s="336"/>
      <c r="C52" s="336"/>
      <c r="D52" s="336"/>
      <c r="E52" s="336"/>
      <c r="F52" s="336"/>
      <c r="G52" s="336"/>
      <c r="H52" s="336"/>
      <c r="I52" s="336"/>
      <c r="J52" s="336"/>
      <c r="K52" s="336"/>
      <c r="L52" s="337"/>
    </row>
    <row r="53" spans="1:12">
      <c r="A53" s="335"/>
      <c r="B53" s="336"/>
      <c r="C53" s="336"/>
      <c r="D53" s="336"/>
      <c r="E53" s="336"/>
      <c r="F53" s="336"/>
      <c r="G53" s="336"/>
      <c r="H53" s="336"/>
      <c r="I53" s="336"/>
      <c r="J53" s="336"/>
      <c r="K53" s="336"/>
      <c r="L53" s="337"/>
    </row>
    <row r="54" spans="1:12">
      <c r="A54" s="335"/>
      <c r="B54" s="336"/>
      <c r="C54" s="336"/>
      <c r="D54" s="336"/>
      <c r="E54" s="336"/>
      <c r="F54" s="336"/>
      <c r="G54" s="336"/>
      <c r="H54" s="336"/>
      <c r="I54" s="336"/>
      <c r="J54" s="336"/>
      <c r="K54" s="336"/>
      <c r="L54" s="337"/>
    </row>
    <row r="55" spans="1:12">
      <c r="A55" s="335"/>
      <c r="B55" s="336"/>
      <c r="C55" s="336"/>
      <c r="D55" s="336"/>
      <c r="E55" s="336"/>
      <c r="F55" s="336"/>
      <c r="G55" s="336"/>
      <c r="H55" s="336"/>
      <c r="I55" s="336"/>
      <c r="J55" s="336"/>
      <c r="K55" s="336"/>
      <c r="L55" s="337"/>
    </row>
    <row r="56" spans="1:12" ht="29.25">
      <c r="A56" s="340" t="s">
        <v>665</v>
      </c>
      <c r="B56" s="341"/>
      <c r="C56" s="341"/>
      <c r="D56" s="341"/>
      <c r="E56" s="341"/>
      <c r="F56" s="341"/>
      <c r="G56" s="341"/>
      <c r="H56" s="341"/>
      <c r="I56" s="341"/>
      <c r="J56" s="336"/>
      <c r="K56" s="336"/>
      <c r="L56" s="337"/>
    </row>
    <row r="57" spans="1:12" ht="29.25">
      <c r="A57" s="335"/>
      <c r="B57" s="336"/>
      <c r="C57" s="336"/>
      <c r="D57" s="336"/>
      <c r="E57" s="336"/>
      <c r="F57" s="336"/>
      <c r="G57" s="336"/>
      <c r="H57" s="336"/>
      <c r="I57" s="336"/>
      <c r="J57" s="341"/>
      <c r="K57" s="341"/>
      <c r="L57" s="342"/>
    </row>
    <row r="58" spans="1:12" ht="30.75">
      <c r="A58" s="343"/>
      <c r="B58" s="349"/>
      <c r="C58" s="349"/>
      <c r="D58" s="344"/>
      <c r="E58" s="350"/>
      <c r="F58" s="350"/>
      <c r="G58" s="350"/>
      <c r="H58" s="350"/>
      <c r="I58" s="350"/>
      <c r="J58" s="351"/>
      <c r="K58" s="336"/>
      <c r="L58" s="337"/>
    </row>
    <row r="59" spans="1:12" ht="29.25">
      <c r="A59" s="335"/>
      <c r="B59" s="336"/>
      <c r="C59" s="336"/>
      <c r="D59" s="336"/>
      <c r="E59" s="336"/>
      <c r="F59" s="336"/>
      <c r="G59" s="336"/>
      <c r="H59" s="336"/>
      <c r="I59" s="336"/>
      <c r="J59" s="349"/>
      <c r="K59" s="349"/>
      <c r="L59" s="352"/>
    </row>
    <row r="60" spans="1:12">
      <c r="A60" s="335"/>
      <c r="B60" s="336"/>
      <c r="C60" s="336"/>
      <c r="D60" s="336"/>
      <c r="E60" s="336"/>
      <c r="F60" s="336"/>
      <c r="G60" s="336"/>
      <c r="H60" s="336"/>
      <c r="I60" s="336"/>
      <c r="J60" s="336"/>
      <c r="K60" s="336"/>
      <c r="L60" s="337"/>
    </row>
    <row r="61" spans="1:12">
      <c r="A61" s="335"/>
      <c r="B61" s="336"/>
      <c r="C61" s="336"/>
      <c r="D61" s="336"/>
      <c r="E61" s="336"/>
      <c r="F61" s="336"/>
      <c r="G61" s="336"/>
      <c r="H61" s="336"/>
      <c r="I61" s="336"/>
      <c r="J61" s="336"/>
      <c r="K61" s="336"/>
      <c r="L61" s="337"/>
    </row>
    <row r="62" spans="1:12">
      <c r="A62" s="335"/>
      <c r="B62" s="336"/>
      <c r="C62" s="336"/>
      <c r="D62" s="336"/>
      <c r="E62" s="336"/>
      <c r="F62" s="336"/>
      <c r="G62" s="336"/>
      <c r="H62" s="336"/>
      <c r="I62" s="336"/>
      <c r="J62" s="336"/>
      <c r="K62" s="336"/>
      <c r="L62" s="337"/>
    </row>
    <row r="63" spans="1:12">
      <c r="A63" s="335"/>
      <c r="B63" s="336"/>
      <c r="C63" s="336"/>
      <c r="D63" s="336"/>
      <c r="E63" s="336"/>
      <c r="F63" s="336"/>
      <c r="G63" s="336"/>
      <c r="H63" s="336"/>
      <c r="I63" s="336"/>
      <c r="J63" s="336"/>
      <c r="K63" s="336"/>
      <c r="L63" s="337"/>
    </row>
    <row r="64" spans="1:12">
      <c r="A64" s="335"/>
      <c r="B64" s="336"/>
      <c r="C64" s="336"/>
      <c r="D64" s="336"/>
      <c r="E64" s="336"/>
      <c r="F64" s="336"/>
      <c r="G64" s="336"/>
      <c r="H64" s="336"/>
      <c r="I64" s="336"/>
      <c r="J64" s="336"/>
      <c r="K64" s="336"/>
      <c r="L64" s="337"/>
    </row>
    <row r="65" spans="1:12" ht="15" thickBot="1">
      <c r="A65" s="353"/>
      <c r="B65" s="354"/>
      <c r="C65" s="354"/>
      <c r="D65" s="354"/>
      <c r="E65" s="354"/>
      <c r="F65" s="354"/>
      <c r="G65" s="354"/>
      <c r="H65" s="354"/>
      <c r="I65" s="354"/>
      <c r="J65" s="336"/>
      <c r="K65" s="336"/>
      <c r="L65" s="337"/>
    </row>
    <row r="66" spans="1:12" ht="15.75" thickTop="1" thickBot="1">
      <c r="A66" s="355"/>
      <c r="B66" s="355"/>
      <c r="C66" s="355"/>
      <c r="D66" s="355"/>
      <c r="E66" s="355"/>
      <c r="F66" s="355"/>
      <c r="G66" s="355"/>
      <c r="H66" s="355"/>
      <c r="I66" s="355"/>
      <c r="J66" s="354"/>
      <c r="K66" s="336"/>
      <c r="L66" s="356"/>
    </row>
    <row r="67" spans="1:12" ht="15" thickTop="1"/>
  </sheetData>
  <mergeCells count="1">
    <mergeCell ref="A8:L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123"/>
  <sheetViews>
    <sheetView tabSelected="1" view="pageBreakPreview" topLeftCell="B955" zoomScale="40" zoomScaleNormal="67" zoomScaleSheetLayoutView="40" workbookViewId="0">
      <selection activeCell="I1020" sqref="I1020"/>
    </sheetView>
  </sheetViews>
  <sheetFormatPr defaultColWidth="45.77734375" defaultRowHeight="23.25"/>
  <cols>
    <col min="1" max="1" width="20.109375" style="25" customWidth="1"/>
    <col min="2" max="2" width="52.77734375" style="74" customWidth="1"/>
    <col min="3" max="3" width="13.21875" style="74" customWidth="1"/>
    <col min="4" max="4" width="21.77734375" style="74" customWidth="1"/>
    <col min="5" max="5" width="19.21875" style="74" customWidth="1"/>
    <col min="6" max="6" width="18.77734375" style="75" customWidth="1"/>
    <col min="7" max="8" width="22.44140625" style="75" bestFit="1" customWidth="1"/>
    <col min="9" max="9" width="21.6640625" style="75" customWidth="1"/>
    <col min="10" max="10" width="18.33203125" style="25" customWidth="1"/>
    <col min="11" max="16384" width="45.77734375" style="25"/>
  </cols>
  <sheetData>
    <row r="1" spans="1:11">
      <c r="A1" s="22"/>
      <c r="B1" s="23"/>
      <c r="C1" s="22"/>
      <c r="D1" s="22" t="s">
        <v>469</v>
      </c>
      <c r="E1" s="22" t="s">
        <v>473</v>
      </c>
      <c r="F1" s="22" t="s">
        <v>73</v>
      </c>
      <c r="G1" s="24" t="s">
        <v>73</v>
      </c>
      <c r="H1" s="22" t="s">
        <v>651</v>
      </c>
      <c r="I1" s="22" t="s">
        <v>651</v>
      </c>
    </row>
    <row r="2" spans="1:11">
      <c r="A2" s="22" t="s">
        <v>10</v>
      </c>
      <c r="B2" s="26" t="s">
        <v>8</v>
      </c>
      <c r="C2" s="22" t="s">
        <v>9</v>
      </c>
      <c r="D2" s="22" t="s">
        <v>470</v>
      </c>
      <c r="E2" s="22" t="s">
        <v>10</v>
      </c>
      <c r="F2" s="22" t="s">
        <v>11</v>
      </c>
      <c r="G2" s="24" t="s">
        <v>498</v>
      </c>
      <c r="H2" s="22" t="s">
        <v>500</v>
      </c>
      <c r="I2" s="22" t="s">
        <v>498</v>
      </c>
    </row>
    <row r="3" spans="1:11">
      <c r="A3" s="22" t="s">
        <v>13</v>
      </c>
      <c r="B3" s="23"/>
      <c r="C3" s="22" t="s">
        <v>12</v>
      </c>
      <c r="D3" s="22" t="s">
        <v>14</v>
      </c>
      <c r="E3" s="22" t="s">
        <v>14</v>
      </c>
      <c r="F3" s="22" t="s">
        <v>14</v>
      </c>
      <c r="G3" s="24" t="s">
        <v>15</v>
      </c>
      <c r="H3" s="22" t="s">
        <v>272</v>
      </c>
      <c r="I3" s="22" t="s">
        <v>285</v>
      </c>
    </row>
    <row r="4" spans="1:11">
      <c r="A4" s="22"/>
      <c r="B4" s="22" t="s">
        <v>488</v>
      </c>
      <c r="C4" s="22"/>
      <c r="D4" s="22"/>
      <c r="E4" s="22"/>
      <c r="F4" s="27"/>
      <c r="G4" s="28"/>
      <c r="H4" s="27"/>
      <c r="I4" s="27"/>
    </row>
    <row r="5" spans="1:11">
      <c r="A5" s="22"/>
      <c r="B5" s="22"/>
      <c r="C5" s="22"/>
      <c r="D5" s="22"/>
      <c r="E5" s="22"/>
      <c r="F5" s="27"/>
      <c r="G5" s="28"/>
      <c r="H5" s="27"/>
      <c r="I5" s="27"/>
    </row>
    <row r="6" spans="1:11">
      <c r="A6" s="22"/>
      <c r="B6" s="26" t="s">
        <v>16</v>
      </c>
      <c r="C6" s="22"/>
      <c r="D6" s="22"/>
      <c r="E6" s="22"/>
      <c r="F6" s="27"/>
      <c r="G6" s="28"/>
      <c r="H6" s="27"/>
      <c r="I6" s="27"/>
    </row>
    <row r="7" spans="1:11">
      <c r="A7" s="18"/>
      <c r="B7" s="29"/>
      <c r="C7" s="18"/>
      <c r="D7" s="18"/>
      <c r="E7" s="18"/>
      <c r="F7" s="30"/>
      <c r="G7" s="31"/>
      <c r="H7" s="30"/>
      <c r="I7" s="30"/>
      <c r="J7" s="32"/>
      <c r="K7" s="32"/>
    </row>
    <row r="8" spans="1:11">
      <c r="A8" s="16">
        <v>740000</v>
      </c>
      <c r="B8" s="33" t="s">
        <v>17</v>
      </c>
      <c r="C8" s="18">
        <v>5400</v>
      </c>
      <c r="D8" s="19">
        <v>297664</v>
      </c>
      <c r="E8" s="19">
        <f>+F8</f>
        <v>893000</v>
      </c>
      <c r="F8" s="34">
        <v>893000</v>
      </c>
      <c r="G8" s="21">
        <f>+F8*0.1+F8</f>
        <v>982300</v>
      </c>
      <c r="H8" s="34">
        <f>+G8*0.1+G8</f>
        <v>1080530</v>
      </c>
      <c r="I8" s="34">
        <f>+H8*0.1+H8</f>
        <v>1188583</v>
      </c>
      <c r="J8" s="32"/>
      <c r="K8" s="32"/>
    </row>
    <row r="9" spans="1:11">
      <c r="A9" s="16">
        <v>0</v>
      </c>
      <c r="B9" s="33" t="s">
        <v>18</v>
      </c>
      <c r="C9" s="18">
        <v>5390</v>
      </c>
      <c r="D9" s="19"/>
      <c r="E9" s="19">
        <v>0</v>
      </c>
      <c r="F9" s="34">
        <v>0</v>
      </c>
      <c r="G9" s="21">
        <v>0</v>
      </c>
      <c r="H9" s="34">
        <v>0</v>
      </c>
      <c r="I9" s="34">
        <v>0</v>
      </c>
      <c r="J9" s="32"/>
      <c r="K9" s="32"/>
    </row>
    <row r="10" spans="1:11">
      <c r="A10" s="16">
        <v>2486104</v>
      </c>
      <c r="B10" s="35" t="s">
        <v>19</v>
      </c>
      <c r="C10" s="18">
        <v>5270</v>
      </c>
      <c r="D10" s="19">
        <v>1066664</v>
      </c>
      <c r="E10" s="19">
        <f>+F10</f>
        <v>3200000</v>
      </c>
      <c r="F10" s="34">
        <v>3200000</v>
      </c>
      <c r="G10" s="21">
        <f>+F10*0.1+F10-300000+245876</f>
        <v>3465876</v>
      </c>
      <c r="H10" s="34">
        <f>+G10*0.1+G10</f>
        <v>3812463.6</v>
      </c>
      <c r="I10" s="34">
        <f>+H10*0.1+H10</f>
        <v>4193709.96</v>
      </c>
      <c r="J10" s="32"/>
      <c r="K10" s="32"/>
    </row>
    <row r="11" spans="1:11">
      <c r="A11" s="16">
        <v>0</v>
      </c>
      <c r="B11" s="35" t="s">
        <v>20</v>
      </c>
      <c r="C11" s="18">
        <v>5401</v>
      </c>
      <c r="D11" s="19"/>
      <c r="E11" s="19">
        <v>0</v>
      </c>
      <c r="F11" s="34">
        <v>0</v>
      </c>
      <c r="G11" s="21">
        <v>0</v>
      </c>
      <c r="H11" s="34">
        <v>0</v>
      </c>
      <c r="I11" s="34">
        <v>0</v>
      </c>
      <c r="J11" s="32"/>
      <c r="K11" s="32"/>
    </row>
    <row r="12" spans="1:11">
      <c r="A12" s="16">
        <v>2345420</v>
      </c>
      <c r="B12" s="35" t="s">
        <v>21</v>
      </c>
      <c r="C12" s="18">
        <v>5402</v>
      </c>
      <c r="D12" s="19"/>
      <c r="E12" s="19">
        <v>0</v>
      </c>
      <c r="F12" s="34">
        <v>500000</v>
      </c>
      <c r="G12" s="21">
        <v>0</v>
      </c>
      <c r="H12" s="34">
        <v>0</v>
      </c>
      <c r="I12" s="34">
        <v>0</v>
      </c>
      <c r="J12" s="32"/>
      <c r="K12" s="32"/>
    </row>
    <row r="13" spans="1:11">
      <c r="A13" s="30">
        <f>SUM(A8:A12)</f>
        <v>5571524</v>
      </c>
      <c r="B13" s="35"/>
      <c r="C13" s="18"/>
      <c r="D13" s="36">
        <f>SUM(D8:D12)</f>
        <v>1364328</v>
      </c>
      <c r="E13" s="30">
        <f>SUM(E8:E12)</f>
        <v>4093000</v>
      </c>
      <c r="F13" s="30">
        <f>SUM(F8:F12)</f>
        <v>4593000</v>
      </c>
      <c r="G13" s="31">
        <f t="shared" ref="G13:I13" si="0">SUM(G8:G12)</f>
        <v>4448176</v>
      </c>
      <c r="H13" s="30">
        <f t="shared" si="0"/>
        <v>4892993.5999999996</v>
      </c>
      <c r="I13" s="30">
        <f t="shared" si="0"/>
        <v>5382292.96</v>
      </c>
      <c r="J13" s="32"/>
      <c r="K13" s="32"/>
    </row>
    <row r="14" spans="1:11">
      <c r="A14" s="37"/>
      <c r="B14" s="29" t="s">
        <v>22</v>
      </c>
      <c r="C14" s="18"/>
      <c r="D14" s="19"/>
      <c r="E14" s="19"/>
      <c r="F14" s="30"/>
      <c r="G14" s="31"/>
      <c r="H14" s="30"/>
      <c r="I14" s="30"/>
      <c r="J14" s="32"/>
      <c r="K14" s="32"/>
    </row>
    <row r="15" spans="1:11">
      <c r="A15" s="37"/>
      <c r="B15" s="18"/>
      <c r="C15" s="18"/>
      <c r="D15" s="19"/>
      <c r="E15" s="19"/>
      <c r="F15" s="30"/>
      <c r="G15" s="31"/>
      <c r="H15" s="30"/>
      <c r="I15" s="30"/>
      <c r="J15" s="32"/>
      <c r="K15" s="32"/>
    </row>
    <row r="16" spans="1:11">
      <c r="A16" s="38"/>
      <c r="B16" s="39" t="s">
        <v>23</v>
      </c>
      <c r="C16" s="29"/>
      <c r="D16" s="40"/>
      <c r="E16" s="40"/>
      <c r="F16" s="30"/>
      <c r="G16" s="31"/>
      <c r="H16" s="30"/>
      <c r="I16" s="30"/>
      <c r="J16" s="32"/>
      <c r="K16" s="32"/>
    </row>
    <row r="17" spans="1:11">
      <c r="A17" s="37"/>
      <c r="B17" s="17"/>
      <c r="C17" s="18"/>
      <c r="D17" s="19"/>
      <c r="E17" s="19"/>
      <c r="F17" s="30"/>
      <c r="G17" s="31"/>
      <c r="H17" s="30"/>
      <c r="I17" s="30"/>
      <c r="J17" s="32"/>
      <c r="K17" s="32"/>
    </row>
    <row r="18" spans="1:11">
      <c r="A18" s="16">
        <v>2870969</v>
      </c>
      <c r="B18" s="17" t="s">
        <v>24</v>
      </c>
      <c r="C18" s="18">
        <v>6086</v>
      </c>
      <c r="D18" s="19">
        <v>1471052.12</v>
      </c>
      <c r="E18" s="19">
        <f>F18</f>
        <v>3087488.05</v>
      </c>
      <c r="F18" s="20">
        <f>+[1]COUNCILLORS!F29</f>
        <v>3087488.05</v>
      </c>
      <c r="G18" s="21">
        <f>F18*8.3%+3087488.05</f>
        <v>3343749.5581499999</v>
      </c>
      <c r="H18" s="20">
        <f>G18*8.3%+3087488.05</f>
        <v>3365019.2633264498</v>
      </c>
      <c r="I18" s="20">
        <f>H18*8.3%+3087488.05</f>
        <v>3366784.648856095</v>
      </c>
      <c r="J18" s="32"/>
      <c r="K18" s="32"/>
    </row>
    <row r="19" spans="1:11">
      <c r="A19" s="16">
        <v>0</v>
      </c>
      <c r="B19" s="17" t="s">
        <v>25</v>
      </c>
      <c r="C19" s="18">
        <v>6050</v>
      </c>
      <c r="D19" s="19">
        <v>0</v>
      </c>
      <c r="E19" s="19">
        <v>0</v>
      </c>
      <c r="F19" s="34">
        <v>0</v>
      </c>
      <c r="G19" s="21">
        <f>F19*8.3%+0</f>
        <v>0</v>
      </c>
      <c r="H19" s="20">
        <v>0</v>
      </c>
      <c r="I19" s="20">
        <v>0</v>
      </c>
      <c r="J19" s="32"/>
      <c r="K19" s="32"/>
    </row>
    <row r="20" spans="1:11">
      <c r="A20" s="16">
        <v>0</v>
      </c>
      <c r="B20" s="17" t="s">
        <v>26</v>
      </c>
      <c r="C20" s="18">
        <v>6030</v>
      </c>
      <c r="D20" s="19">
        <v>0</v>
      </c>
      <c r="E20" s="19">
        <v>0</v>
      </c>
      <c r="F20" s="20">
        <v>0</v>
      </c>
      <c r="G20" s="21">
        <f>F20*8.3%+0</f>
        <v>0</v>
      </c>
      <c r="H20" s="20">
        <v>0</v>
      </c>
      <c r="I20" s="20">
        <v>0</v>
      </c>
      <c r="J20" s="32"/>
      <c r="K20" s="32"/>
    </row>
    <row r="21" spans="1:11">
      <c r="A21" s="16">
        <v>900000</v>
      </c>
      <c r="B21" s="17" t="s">
        <v>27</v>
      </c>
      <c r="C21" s="18">
        <v>6070</v>
      </c>
      <c r="D21" s="19">
        <v>472185.48</v>
      </c>
      <c r="E21" s="19">
        <f>+F21</f>
        <v>990685.64999999991</v>
      </c>
      <c r="F21" s="20">
        <f>+[1]COUNCILLORS!G29</f>
        <v>990685.64999999991</v>
      </c>
      <c r="G21" s="21">
        <f>+E21*8.3/100+E21</f>
        <v>1072912.55895</v>
      </c>
      <c r="H21" s="20">
        <f>+G23*8.3/100+G21</f>
        <v>1072912.55895</v>
      </c>
      <c r="I21" s="20">
        <f>+H23*8.3/100+H21</f>
        <v>1072912.55895</v>
      </c>
      <c r="J21" s="32"/>
      <c r="K21" s="32"/>
    </row>
    <row r="22" spans="1:11">
      <c r="A22" s="16">
        <v>261676</v>
      </c>
      <c r="B22" s="17" t="s">
        <v>28</v>
      </c>
      <c r="C22" s="18">
        <v>6082</v>
      </c>
      <c r="D22" s="19">
        <v>101772</v>
      </c>
      <c r="E22" s="19">
        <f>+F22</f>
        <v>280113.12000000005</v>
      </c>
      <c r="F22" s="34">
        <f>+[1]COUNCILLORS!H29</f>
        <v>280113.12000000005</v>
      </c>
      <c r="G22" s="21">
        <f>+E22*8.3/100+E22</f>
        <v>303362.50896000006</v>
      </c>
      <c r="H22" s="20">
        <f>+G22*8.3/100+G22</f>
        <v>328541.59720368008</v>
      </c>
      <c r="I22" s="20">
        <f>+H22*8.3/100+H22</f>
        <v>355810.5497715855</v>
      </c>
      <c r="J22" s="32"/>
      <c r="K22" s="32"/>
    </row>
    <row r="23" spans="1:11">
      <c r="A23" s="16">
        <v>0</v>
      </c>
      <c r="B23" s="17" t="s">
        <v>29</v>
      </c>
      <c r="C23" s="18">
        <v>6085</v>
      </c>
      <c r="D23" s="19">
        <v>0</v>
      </c>
      <c r="E23" s="19">
        <v>0</v>
      </c>
      <c r="F23" s="20">
        <v>0</v>
      </c>
      <c r="G23" s="21">
        <f>F23*8.3%+0</f>
        <v>0</v>
      </c>
      <c r="H23" s="20">
        <v>0</v>
      </c>
      <c r="I23" s="20">
        <v>0</v>
      </c>
      <c r="J23" s="32"/>
      <c r="K23" s="32"/>
    </row>
    <row r="24" spans="1:11">
      <c r="A24" s="30">
        <f>SUM(A18:A23)</f>
        <v>4032645</v>
      </c>
      <c r="B24" s="17"/>
      <c r="C24" s="18"/>
      <c r="D24" s="36">
        <f t="shared" ref="D24:I24" si="1">SUM(D18:D23)</f>
        <v>2045009.6</v>
      </c>
      <c r="E24" s="30">
        <f t="shared" si="1"/>
        <v>4358286.8199999994</v>
      </c>
      <c r="F24" s="30">
        <f t="shared" si="1"/>
        <v>4358286.8199999994</v>
      </c>
      <c r="G24" s="31">
        <f t="shared" si="1"/>
        <v>4720024.6260600006</v>
      </c>
      <c r="H24" s="30">
        <f t="shared" si="1"/>
        <v>4766473.4194801301</v>
      </c>
      <c r="I24" s="30">
        <f t="shared" si="1"/>
        <v>4795507.757577681</v>
      </c>
      <c r="J24" s="32"/>
      <c r="K24" s="32"/>
    </row>
    <row r="25" spans="1:11">
      <c r="A25" s="37"/>
      <c r="B25" s="17"/>
      <c r="C25" s="18"/>
      <c r="D25" s="19"/>
      <c r="E25" s="19"/>
      <c r="F25" s="30"/>
      <c r="G25" s="31"/>
      <c r="H25" s="30"/>
      <c r="I25" s="30"/>
      <c r="J25" s="32"/>
      <c r="K25" s="32"/>
    </row>
    <row r="26" spans="1:11">
      <c r="A26" s="38"/>
      <c r="B26" s="39" t="s">
        <v>30</v>
      </c>
      <c r="C26" s="29"/>
      <c r="D26" s="40"/>
      <c r="E26" s="40"/>
      <c r="F26" s="30"/>
      <c r="G26" s="31"/>
      <c r="H26" s="30"/>
      <c r="I26" s="30"/>
      <c r="J26" s="32"/>
      <c r="K26" s="32"/>
    </row>
    <row r="27" spans="1:11">
      <c r="A27" s="34"/>
      <c r="B27" s="17"/>
      <c r="C27" s="17"/>
      <c r="D27" s="19"/>
      <c r="E27" s="19"/>
      <c r="F27" s="30"/>
      <c r="G27" s="31"/>
      <c r="H27" s="30"/>
      <c r="I27" s="30"/>
      <c r="J27" s="32"/>
      <c r="K27" s="32"/>
    </row>
    <row r="28" spans="1:11">
      <c r="A28" s="16">
        <v>55000</v>
      </c>
      <c r="B28" s="17" t="s">
        <v>31</v>
      </c>
      <c r="C28" s="18">
        <v>6190</v>
      </c>
      <c r="D28" s="19">
        <v>22063.14</v>
      </c>
      <c r="E28" s="19">
        <f>+F28</f>
        <v>57750</v>
      </c>
      <c r="F28" s="20">
        <f>55000*0.05+A28</f>
        <v>57750</v>
      </c>
      <c r="G28" s="21">
        <f>+F28*6.3/100+F28</f>
        <v>61388.25</v>
      </c>
      <c r="H28" s="20">
        <f>+G28*6.3/100+G28</f>
        <v>65255.709750000002</v>
      </c>
      <c r="I28" s="20">
        <f>+H28*6.3/100+H28</f>
        <v>69366.819464250002</v>
      </c>
      <c r="J28" s="32"/>
      <c r="K28" s="32"/>
    </row>
    <row r="29" spans="1:11">
      <c r="A29" s="41">
        <v>4680</v>
      </c>
      <c r="B29" s="17" t="s">
        <v>32</v>
      </c>
      <c r="C29" s="42">
        <v>6540</v>
      </c>
      <c r="D29" s="43">
        <v>2583.77</v>
      </c>
      <c r="E29" s="43">
        <f>+F29</f>
        <v>4914</v>
      </c>
      <c r="F29" s="20">
        <f>+A29*0.05+A29</f>
        <v>4914</v>
      </c>
      <c r="G29" s="21">
        <f t="shared" ref="G29:I30" si="2">+F29*6.3/100+F29</f>
        <v>5223.5820000000003</v>
      </c>
      <c r="H29" s="20">
        <f t="shared" si="2"/>
        <v>5552.6676660000003</v>
      </c>
      <c r="I29" s="20">
        <f t="shared" si="2"/>
        <v>5902.4857289580004</v>
      </c>
      <c r="J29" s="32"/>
      <c r="K29" s="32"/>
    </row>
    <row r="30" spans="1:11">
      <c r="A30" s="41">
        <v>45000</v>
      </c>
      <c r="B30" s="17" t="s">
        <v>33</v>
      </c>
      <c r="C30" s="42">
        <v>6570</v>
      </c>
      <c r="D30" s="43" t="s">
        <v>478</v>
      </c>
      <c r="E30" s="43">
        <f>+F30/2</f>
        <v>23625</v>
      </c>
      <c r="F30" s="20">
        <f>+A30*0.05+A30</f>
        <v>47250</v>
      </c>
      <c r="G30" s="21">
        <f>+E30*6.3/100+E30</f>
        <v>25113.375</v>
      </c>
      <c r="H30" s="20">
        <f t="shared" si="2"/>
        <v>26695.517625</v>
      </c>
      <c r="I30" s="20">
        <f t="shared" si="2"/>
        <v>28377.335235375002</v>
      </c>
      <c r="J30" s="32"/>
      <c r="K30" s="32"/>
    </row>
    <row r="31" spans="1:11">
      <c r="A31" s="16">
        <v>240755.33</v>
      </c>
      <c r="B31" s="17" t="s">
        <v>34</v>
      </c>
      <c r="C31" s="18">
        <v>6610</v>
      </c>
      <c r="D31" s="19">
        <v>116582</v>
      </c>
      <c r="E31" s="19">
        <f>+F31</f>
        <v>200000</v>
      </c>
      <c r="F31" s="20">
        <v>200000</v>
      </c>
      <c r="G31" s="21">
        <f>F31*6.3%+200000</f>
        <v>212600</v>
      </c>
      <c r="H31" s="20">
        <f t="shared" ref="H31:I31" si="3">+G31*6.3/100+G31</f>
        <v>225993.8</v>
      </c>
      <c r="I31" s="20">
        <f t="shared" si="3"/>
        <v>240231.40939999997</v>
      </c>
      <c r="J31" s="32"/>
      <c r="K31" s="32"/>
    </row>
    <row r="32" spans="1:11">
      <c r="A32" s="16">
        <v>0</v>
      </c>
      <c r="B32" s="17" t="s">
        <v>505</v>
      </c>
      <c r="C32" s="18"/>
      <c r="D32" s="19">
        <v>0</v>
      </c>
      <c r="E32" s="19">
        <v>0</v>
      </c>
      <c r="F32" s="20">
        <v>0</v>
      </c>
      <c r="G32" s="21">
        <v>100000</v>
      </c>
      <c r="H32" s="20">
        <v>200000</v>
      </c>
      <c r="I32" s="20">
        <v>200000</v>
      </c>
      <c r="J32" s="32"/>
      <c r="K32" s="32"/>
    </row>
    <row r="33" spans="1:11">
      <c r="A33" s="16">
        <v>140000</v>
      </c>
      <c r="B33" s="17" t="s">
        <v>506</v>
      </c>
      <c r="C33" s="18">
        <v>7015</v>
      </c>
      <c r="D33" s="19">
        <v>88320.93</v>
      </c>
      <c r="E33" s="19">
        <f>+F33</f>
        <v>300000</v>
      </c>
      <c r="F33" s="20">
        <v>300000</v>
      </c>
      <c r="G33" s="21">
        <v>100000</v>
      </c>
      <c r="H33" s="20">
        <f t="shared" ref="H33:I33" si="4">+G33*6.3/100+G33</f>
        <v>106300</v>
      </c>
      <c r="I33" s="20">
        <f t="shared" si="4"/>
        <v>112996.9</v>
      </c>
      <c r="J33" s="32"/>
      <c r="K33" s="32"/>
    </row>
    <row r="34" spans="1:11">
      <c r="A34" s="16">
        <v>0</v>
      </c>
      <c r="B34" s="17" t="s">
        <v>507</v>
      </c>
      <c r="C34" s="18"/>
      <c r="D34" s="19">
        <v>0</v>
      </c>
      <c r="E34" s="19">
        <v>0</v>
      </c>
      <c r="F34" s="20">
        <v>0</v>
      </c>
      <c r="G34" s="21">
        <v>100000</v>
      </c>
      <c r="H34" s="20">
        <v>200000</v>
      </c>
      <c r="I34" s="20">
        <v>200000</v>
      </c>
      <c r="J34" s="32"/>
      <c r="K34" s="32"/>
    </row>
    <row r="35" spans="1:11">
      <c r="A35" s="16">
        <v>0</v>
      </c>
      <c r="B35" s="17" t="s">
        <v>508</v>
      </c>
      <c r="C35" s="18"/>
      <c r="D35" s="19">
        <v>0</v>
      </c>
      <c r="E35" s="19">
        <v>0</v>
      </c>
      <c r="F35" s="20">
        <v>0</v>
      </c>
      <c r="G35" s="21">
        <v>100000</v>
      </c>
      <c r="H35" s="20">
        <v>200000</v>
      </c>
      <c r="I35" s="20">
        <v>200000</v>
      </c>
      <c r="J35" s="32"/>
      <c r="K35" s="32"/>
    </row>
    <row r="36" spans="1:11">
      <c r="A36" s="16"/>
      <c r="B36" s="17" t="s">
        <v>509</v>
      </c>
      <c r="C36" s="18"/>
      <c r="D36" s="19">
        <v>0</v>
      </c>
      <c r="E36" s="19">
        <v>0</v>
      </c>
      <c r="F36" s="20">
        <v>0</v>
      </c>
      <c r="G36" s="21">
        <v>100000</v>
      </c>
      <c r="H36" s="20">
        <v>150000</v>
      </c>
      <c r="I36" s="20">
        <v>150000</v>
      </c>
      <c r="J36" s="32"/>
      <c r="K36" s="32"/>
    </row>
    <row r="37" spans="1:11">
      <c r="A37" s="37">
        <v>0</v>
      </c>
      <c r="B37" s="44" t="s">
        <v>275</v>
      </c>
      <c r="C37" s="18">
        <v>6620</v>
      </c>
      <c r="D37" s="19">
        <v>364432.9</v>
      </c>
      <c r="E37" s="19">
        <v>400000</v>
      </c>
      <c r="F37" s="45">
        <f>+F33</f>
        <v>300000</v>
      </c>
      <c r="G37" s="31">
        <v>400000</v>
      </c>
      <c r="H37" s="45">
        <f t="shared" ref="H37:I37" si="5">+G37*6.3/100+G37</f>
        <v>425200</v>
      </c>
      <c r="I37" s="45">
        <f t="shared" si="5"/>
        <v>451987.6</v>
      </c>
      <c r="J37" s="46"/>
      <c r="K37" s="46"/>
    </row>
    <row r="38" spans="1:11">
      <c r="A38" s="37">
        <v>200000</v>
      </c>
      <c r="B38" s="44" t="s">
        <v>35</v>
      </c>
      <c r="C38" s="18">
        <v>7085</v>
      </c>
      <c r="D38" s="19">
        <v>79492</v>
      </c>
      <c r="E38" s="19">
        <f>+F38</f>
        <v>270000</v>
      </c>
      <c r="F38" s="45">
        <v>270000</v>
      </c>
      <c r="G38" s="31">
        <f>F38*6.3%+270000</f>
        <v>287010</v>
      </c>
      <c r="H38" s="45">
        <f t="shared" ref="H38:I38" si="6">+G38*6.3/100+G38</f>
        <v>305091.63</v>
      </c>
      <c r="I38" s="45">
        <f t="shared" si="6"/>
        <v>324312.40269000002</v>
      </c>
      <c r="J38" s="47"/>
      <c r="K38" s="47"/>
    </row>
    <row r="39" spans="1:11">
      <c r="A39" s="41">
        <v>600000</v>
      </c>
      <c r="B39" s="17" t="s">
        <v>36</v>
      </c>
      <c r="C39" s="42">
        <v>6720</v>
      </c>
      <c r="D39" s="43">
        <v>263892.8</v>
      </c>
      <c r="E39" s="43">
        <f>+F39</f>
        <v>550000</v>
      </c>
      <c r="F39" s="20">
        <v>550000</v>
      </c>
      <c r="G39" s="21">
        <v>0</v>
      </c>
      <c r="H39" s="20">
        <f t="shared" ref="H39:I39" si="7">+G39*6.3/100+G39</f>
        <v>0</v>
      </c>
      <c r="I39" s="20">
        <f t="shared" si="7"/>
        <v>0</v>
      </c>
      <c r="J39" s="32"/>
      <c r="K39" s="32"/>
    </row>
    <row r="40" spans="1:11">
      <c r="A40" s="16">
        <v>25000</v>
      </c>
      <c r="B40" s="17" t="s">
        <v>37</v>
      </c>
      <c r="C40" s="18">
        <v>6790</v>
      </c>
      <c r="D40" s="19">
        <v>5740.84</v>
      </c>
      <c r="E40" s="19">
        <f>+F40/2</f>
        <v>17500</v>
      </c>
      <c r="F40" s="20">
        <v>35000</v>
      </c>
      <c r="G40" s="21">
        <v>0</v>
      </c>
      <c r="H40" s="20">
        <f t="shared" ref="H40:I40" si="8">+G40*6.3/100+G40</f>
        <v>0</v>
      </c>
      <c r="I40" s="20">
        <f t="shared" si="8"/>
        <v>0</v>
      </c>
      <c r="J40" s="32"/>
      <c r="K40" s="32"/>
    </row>
    <row r="41" spans="1:11">
      <c r="A41" s="16">
        <v>1668.28</v>
      </c>
      <c r="B41" s="17" t="s">
        <v>38</v>
      </c>
      <c r="C41" s="18">
        <v>6980</v>
      </c>
      <c r="D41" s="19">
        <v>100000</v>
      </c>
      <c r="E41" s="19">
        <f>+D41</f>
        <v>100000</v>
      </c>
      <c r="F41" s="20">
        <v>84000</v>
      </c>
      <c r="G41" s="21">
        <v>100000</v>
      </c>
      <c r="H41" s="20">
        <f t="shared" ref="H41:I41" si="9">+G41*6.3/100+G41</f>
        <v>106300</v>
      </c>
      <c r="I41" s="20">
        <f t="shared" si="9"/>
        <v>112996.9</v>
      </c>
      <c r="J41" s="32"/>
      <c r="K41" s="32"/>
    </row>
    <row r="42" spans="1:11">
      <c r="A42" s="16">
        <v>0</v>
      </c>
      <c r="B42" s="17" t="s">
        <v>276</v>
      </c>
      <c r="C42" s="18">
        <v>6528</v>
      </c>
      <c r="D42" s="19">
        <v>17686.169999999998</v>
      </c>
      <c r="E42" s="19">
        <f>+F42</f>
        <v>45000</v>
      </c>
      <c r="F42" s="20">
        <v>45000</v>
      </c>
      <c r="G42" s="21">
        <f>F42*6.3%+45000</f>
        <v>47835</v>
      </c>
      <c r="H42" s="20">
        <f t="shared" ref="H42:I42" si="10">+G42*6.3/100+G42</f>
        <v>50848.605000000003</v>
      </c>
      <c r="I42" s="20">
        <f t="shared" si="10"/>
        <v>54052.067115000005</v>
      </c>
      <c r="J42" s="32"/>
      <c r="K42" s="32"/>
    </row>
    <row r="43" spans="1:11">
      <c r="A43" s="16">
        <v>6000</v>
      </c>
      <c r="B43" s="17" t="s">
        <v>39</v>
      </c>
      <c r="C43" s="18">
        <v>6990</v>
      </c>
      <c r="D43" s="19">
        <v>1235.24</v>
      </c>
      <c r="E43" s="19">
        <f>+F43</f>
        <v>6600</v>
      </c>
      <c r="F43" s="20">
        <f>+A43*0.1+A43</f>
        <v>6600</v>
      </c>
      <c r="G43" s="21">
        <v>0</v>
      </c>
      <c r="H43" s="20">
        <f t="shared" ref="H43:I43" si="11">+G43*6.3/100+G43</f>
        <v>0</v>
      </c>
      <c r="I43" s="20">
        <f t="shared" si="11"/>
        <v>0</v>
      </c>
      <c r="J43" s="32"/>
      <c r="K43" s="32"/>
    </row>
    <row r="44" spans="1:11">
      <c r="A44" s="16">
        <v>45000</v>
      </c>
      <c r="B44" s="17" t="s">
        <v>40</v>
      </c>
      <c r="C44" s="18">
        <v>7070</v>
      </c>
      <c r="D44" s="19">
        <v>33833.43</v>
      </c>
      <c r="E44" s="19">
        <f>+D44*2</f>
        <v>67666.86</v>
      </c>
      <c r="F44" s="20">
        <f>+A44*0.1+A44</f>
        <v>49500</v>
      </c>
      <c r="G44" s="21">
        <f>F44*6.3%+49500</f>
        <v>52618.5</v>
      </c>
      <c r="H44" s="20">
        <f t="shared" ref="H44:I44" si="12">+G44*6.3/100+G44</f>
        <v>55933.465499999998</v>
      </c>
      <c r="I44" s="20">
        <f t="shared" si="12"/>
        <v>59457.273826500001</v>
      </c>
      <c r="J44" s="32"/>
      <c r="K44" s="32"/>
    </row>
    <row r="45" spans="1:11">
      <c r="A45" s="16"/>
      <c r="B45" s="17" t="s">
        <v>496</v>
      </c>
      <c r="C45" s="18"/>
      <c r="D45" s="19">
        <v>0</v>
      </c>
      <c r="E45" s="19">
        <v>0</v>
      </c>
      <c r="F45" s="20">
        <v>0</v>
      </c>
      <c r="G45" s="21">
        <v>250000</v>
      </c>
      <c r="H45" s="20">
        <f t="shared" ref="H45:I45" si="13">+G45*6.3/100+G45</f>
        <v>265750</v>
      </c>
      <c r="I45" s="20">
        <f t="shared" si="13"/>
        <v>282492.25</v>
      </c>
      <c r="J45" s="32"/>
      <c r="K45" s="32"/>
    </row>
    <row r="46" spans="1:11">
      <c r="A46" s="16"/>
      <c r="B46" s="17" t="s">
        <v>66</v>
      </c>
      <c r="C46" s="18">
        <v>7191</v>
      </c>
      <c r="D46" s="19">
        <v>0</v>
      </c>
      <c r="E46" s="19">
        <v>0</v>
      </c>
      <c r="F46" s="20">
        <v>0</v>
      </c>
      <c r="G46" s="21">
        <v>120000</v>
      </c>
      <c r="H46" s="20">
        <f t="shared" ref="H46:I46" si="14">+G46*6.3/100+G46</f>
        <v>127560</v>
      </c>
      <c r="I46" s="20">
        <f t="shared" si="14"/>
        <v>135596.28</v>
      </c>
      <c r="J46" s="32"/>
      <c r="K46" s="32"/>
    </row>
    <row r="47" spans="1:11">
      <c r="A47" s="16"/>
      <c r="B47" s="17" t="s">
        <v>569</v>
      </c>
      <c r="C47" s="18">
        <v>0</v>
      </c>
      <c r="D47" s="19">
        <v>0</v>
      </c>
      <c r="E47" s="19">
        <v>0</v>
      </c>
      <c r="F47" s="20">
        <v>0</v>
      </c>
      <c r="G47" s="21">
        <v>200000</v>
      </c>
      <c r="H47" s="20">
        <v>200000</v>
      </c>
      <c r="I47" s="20">
        <v>200000</v>
      </c>
      <c r="J47" s="32"/>
      <c r="K47" s="32"/>
    </row>
    <row r="48" spans="1:11">
      <c r="A48" s="30">
        <f>SUM(A28:A44)</f>
        <v>1363103.61</v>
      </c>
      <c r="B48" s="17"/>
      <c r="C48" s="18"/>
      <c r="D48" s="36">
        <f>SUM(D28:D47)</f>
        <v>1095863.22</v>
      </c>
      <c r="E48" s="36">
        <f t="shared" ref="E48" si="15">SUM(E28:E46)</f>
        <v>2043055.86</v>
      </c>
      <c r="F48" s="36">
        <f>SUM(F28:F47)</f>
        <v>1950014</v>
      </c>
      <c r="G48" s="48">
        <f>SUM(G28:G47)</f>
        <v>2261788.7069999999</v>
      </c>
      <c r="H48" s="36">
        <f>SUM(H28:H47)</f>
        <v>2716481.3955409997</v>
      </c>
      <c r="I48" s="36">
        <f>SUM(I28:I47)</f>
        <v>2827769.7234600824</v>
      </c>
      <c r="J48" s="32"/>
      <c r="K48" s="32"/>
    </row>
    <row r="49" spans="1:11">
      <c r="A49" s="37"/>
      <c r="B49" s="17"/>
      <c r="C49" s="18"/>
      <c r="D49" s="19"/>
      <c r="E49" s="19"/>
      <c r="F49" s="30"/>
      <c r="G49" s="31"/>
      <c r="H49" s="30"/>
      <c r="I49" s="30"/>
      <c r="J49" s="32"/>
      <c r="K49" s="32"/>
    </row>
    <row r="50" spans="1:11">
      <c r="A50" s="38"/>
      <c r="B50" s="39" t="s">
        <v>41</v>
      </c>
      <c r="C50" s="29"/>
      <c r="D50" s="40"/>
      <c r="E50" s="40"/>
      <c r="F50" s="30"/>
      <c r="G50" s="31"/>
      <c r="H50" s="30"/>
      <c r="I50" s="30"/>
      <c r="J50" s="32"/>
      <c r="K50" s="32"/>
    </row>
    <row r="51" spans="1:11">
      <c r="A51" s="16">
        <v>45000</v>
      </c>
      <c r="B51" s="17" t="s">
        <v>42</v>
      </c>
      <c r="C51" s="18">
        <v>7350</v>
      </c>
      <c r="D51" s="19">
        <v>66781.740000000005</v>
      </c>
      <c r="E51" s="19">
        <f>+D51*2</f>
        <v>133563.48000000001</v>
      </c>
      <c r="F51" s="20">
        <v>15000</v>
      </c>
      <c r="G51" s="21">
        <v>120000</v>
      </c>
      <c r="H51" s="20">
        <f t="shared" ref="H51:I52" si="16">+G51*6.3/100+G51</f>
        <v>127560</v>
      </c>
      <c r="I51" s="20">
        <f t="shared" si="16"/>
        <v>135596.28</v>
      </c>
      <c r="J51" s="32"/>
      <c r="K51" s="32"/>
    </row>
    <row r="52" spans="1:11">
      <c r="A52" s="16">
        <v>10500</v>
      </c>
      <c r="B52" s="17" t="s">
        <v>43</v>
      </c>
      <c r="C52" s="18">
        <v>7260</v>
      </c>
      <c r="D52" s="19">
        <v>6650</v>
      </c>
      <c r="E52" s="19">
        <f>+F52</f>
        <v>11550</v>
      </c>
      <c r="F52" s="20">
        <f>+A52*0.1+A52</f>
        <v>11550</v>
      </c>
      <c r="G52" s="21">
        <f>+E52*6.3/100+E52</f>
        <v>12277.65</v>
      </c>
      <c r="H52" s="20">
        <f t="shared" si="16"/>
        <v>13051.141949999999</v>
      </c>
      <c r="I52" s="20">
        <f t="shared" si="16"/>
        <v>13873.363892849999</v>
      </c>
      <c r="J52" s="32"/>
      <c r="K52" s="32"/>
    </row>
    <row r="53" spans="1:11">
      <c r="A53" s="30">
        <f>SUM(A51:A52)</f>
        <v>55500</v>
      </c>
      <c r="B53" s="17"/>
      <c r="C53" s="18"/>
      <c r="D53" s="36">
        <f t="shared" ref="D53:I53" si="17">SUM(D51:D52)</f>
        <v>73431.740000000005</v>
      </c>
      <c r="E53" s="36">
        <f t="shared" si="17"/>
        <v>145113.48000000001</v>
      </c>
      <c r="F53" s="30">
        <f t="shared" si="17"/>
        <v>26550</v>
      </c>
      <c r="G53" s="31">
        <f t="shared" si="17"/>
        <v>132277.65</v>
      </c>
      <c r="H53" s="30">
        <f t="shared" si="17"/>
        <v>140611.14194999999</v>
      </c>
      <c r="I53" s="30">
        <f t="shared" si="17"/>
        <v>149469.64389285</v>
      </c>
      <c r="J53" s="32"/>
      <c r="K53" s="32"/>
    </row>
    <row r="54" spans="1:11">
      <c r="A54" s="37"/>
      <c r="B54" s="17"/>
      <c r="C54" s="18"/>
      <c r="D54" s="19"/>
      <c r="E54" s="19"/>
      <c r="F54" s="30"/>
      <c r="G54" s="31"/>
      <c r="H54" s="30"/>
      <c r="I54" s="30"/>
      <c r="J54" s="32"/>
      <c r="K54" s="32"/>
    </row>
    <row r="55" spans="1:11">
      <c r="A55" s="37"/>
      <c r="B55" s="39" t="s">
        <v>44</v>
      </c>
      <c r="C55" s="18"/>
      <c r="D55" s="19"/>
      <c r="E55" s="19"/>
      <c r="F55" s="30"/>
      <c r="G55" s="31"/>
      <c r="H55" s="30"/>
      <c r="I55" s="30"/>
      <c r="J55" s="32"/>
      <c r="K55" s="32"/>
    </row>
    <row r="56" spans="1:11">
      <c r="A56" s="16">
        <v>4800</v>
      </c>
      <c r="B56" s="17" t="s">
        <v>45</v>
      </c>
      <c r="C56" s="18">
        <v>7800</v>
      </c>
      <c r="D56" s="19">
        <v>10266.9</v>
      </c>
      <c r="E56" s="19">
        <f>+F56</f>
        <v>34287</v>
      </c>
      <c r="F56" s="34">
        <v>34287</v>
      </c>
      <c r="G56" s="21">
        <f>F56*6.3%+34287</f>
        <v>36447.080999999998</v>
      </c>
      <c r="H56" s="34">
        <f>+G56*0.1+G56</f>
        <v>40091.789099999995</v>
      </c>
      <c r="I56" s="34">
        <f>+H56*0.1+H56</f>
        <v>44100.968009999997</v>
      </c>
      <c r="J56" s="32"/>
      <c r="K56" s="32"/>
    </row>
    <row r="57" spans="1:11">
      <c r="A57" s="30">
        <f>+A56</f>
        <v>4800</v>
      </c>
      <c r="B57" s="39"/>
      <c r="C57" s="18"/>
      <c r="D57" s="36">
        <f t="shared" ref="D57:I57" si="18">+D56</f>
        <v>10266.9</v>
      </c>
      <c r="E57" s="30">
        <f t="shared" si="18"/>
        <v>34287</v>
      </c>
      <c r="F57" s="30">
        <f t="shared" si="18"/>
        <v>34287</v>
      </c>
      <c r="G57" s="31">
        <f t="shared" si="18"/>
        <v>36447.080999999998</v>
      </c>
      <c r="H57" s="30">
        <f t="shared" si="18"/>
        <v>40091.789099999995</v>
      </c>
      <c r="I57" s="30">
        <f t="shared" si="18"/>
        <v>44100.968009999997</v>
      </c>
      <c r="J57" s="32"/>
      <c r="K57" s="32"/>
    </row>
    <row r="58" spans="1:11">
      <c r="A58" s="37"/>
      <c r="B58" s="39"/>
      <c r="C58" s="18"/>
      <c r="D58" s="19"/>
      <c r="E58" s="19"/>
      <c r="F58" s="30"/>
      <c r="G58" s="31"/>
      <c r="H58" s="30"/>
      <c r="I58" s="30"/>
      <c r="J58" s="32"/>
      <c r="K58" s="32"/>
    </row>
    <row r="59" spans="1:11">
      <c r="A59" s="45">
        <f>+A57+A53+A48+A24</f>
        <v>5456048.6100000003</v>
      </c>
      <c r="B59" s="39" t="s">
        <v>46</v>
      </c>
      <c r="C59" s="18"/>
      <c r="D59" s="49">
        <f t="shared" ref="D59:I59" si="19">+D57+D53+D48+D24</f>
        <v>3224571.46</v>
      </c>
      <c r="E59" s="45">
        <f t="shared" si="19"/>
        <v>6580743.1600000001</v>
      </c>
      <c r="F59" s="45">
        <f t="shared" si="19"/>
        <v>6369137.8199999994</v>
      </c>
      <c r="G59" s="31">
        <f t="shared" si="19"/>
        <v>7150538.0640600007</v>
      </c>
      <c r="H59" s="45">
        <f t="shared" si="19"/>
        <v>7663657.74607113</v>
      </c>
      <c r="I59" s="45">
        <f t="shared" si="19"/>
        <v>7816848.0929406136</v>
      </c>
      <c r="J59" s="32"/>
      <c r="K59" s="32"/>
    </row>
    <row r="60" spans="1:11">
      <c r="A60" s="45">
        <f>+A13-A59</f>
        <v>115475.38999999966</v>
      </c>
      <c r="B60" s="39" t="s">
        <v>48</v>
      </c>
      <c r="C60" s="18"/>
      <c r="D60" s="49">
        <f t="shared" ref="D60:I60" si="20">+D13-D59</f>
        <v>-1860243.46</v>
      </c>
      <c r="E60" s="45">
        <f t="shared" si="20"/>
        <v>-2487743.16</v>
      </c>
      <c r="F60" s="45">
        <f t="shared" si="20"/>
        <v>-1776137.8199999994</v>
      </c>
      <c r="G60" s="31">
        <f t="shared" si="20"/>
        <v>-2702362.0640600007</v>
      </c>
      <c r="H60" s="45">
        <f t="shared" si="20"/>
        <v>-2770664.1460711304</v>
      </c>
      <c r="I60" s="45">
        <f t="shared" si="20"/>
        <v>-2434555.1329406137</v>
      </c>
      <c r="J60" s="32"/>
      <c r="K60" s="32"/>
    </row>
    <row r="61" spans="1:11">
      <c r="A61" s="45"/>
      <c r="B61" s="39"/>
      <c r="C61" s="18"/>
      <c r="D61" s="19"/>
      <c r="E61" s="19"/>
      <c r="F61" s="45"/>
      <c r="G61" s="31"/>
      <c r="H61" s="45"/>
      <c r="I61" s="45"/>
      <c r="J61" s="32"/>
      <c r="K61" s="32"/>
    </row>
    <row r="62" spans="1:11">
      <c r="A62" s="37"/>
      <c r="B62" s="17"/>
      <c r="C62" s="18"/>
      <c r="D62" s="19"/>
      <c r="E62" s="19"/>
      <c r="F62" s="30"/>
      <c r="G62" s="31"/>
      <c r="H62" s="30"/>
      <c r="I62" s="30"/>
      <c r="J62" s="32"/>
      <c r="K62" s="32"/>
    </row>
    <row r="63" spans="1:11">
      <c r="A63" s="37" t="s">
        <v>72</v>
      </c>
      <c r="B63" s="17"/>
      <c r="C63" s="18"/>
      <c r="D63" s="18" t="s">
        <v>469</v>
      </c>
      <c r="E63" s="18" t="s">
        <v>473</v>
      </c>
      <c r="F63" s="18" t="s">
        <v>73</v>
      </c>
      <c r="G63" s="24" t="s">
        <v>73</v>
      </c>
      <c r="H63" s="22" t="s">
        <v>651</v>
      </c>
      <c r="I63" s="22" t="s">
        <v>651</v>
      </c>
      <c r="J63" s="32"/>
      <c r="K63" s="32"/>
    </row>
    <row r="64" spans="1:11">
      <c r="A64" s="37" t="s">
        <v>10</v>
      </c>
      <c r="B64" s="29" t="s">
        <v>49</v>
      </c>
      <c r="C64" s="18" t="str">
        <f>C2</f>
        <v>ABAKUS</v>
      </c>
      <c r="D64" s="18" t="s">
        <v>470</v>
      </c>
      <c r="E64" s="18" t="s">
        <v>10</v>
      </c>
      <c r="F64" s="18" t="s">
        <v>11</v>
      </c>
      <c r="G64" s="24" t="s">
        <v>498</v>
      </c>
      <c r="H64" s="22" t="s">
        <v>500</v>
      </c>
      <c r="I64" s="22" t="s">
        <v>498</v>
      </c>
      <c r="J64" s="32"/>
      <c r="K64" s="32"/>
    </row>
    <row r="65" spans="1:11">
      <c r="A65" s="37" t="s">
        <v>13</v>
      </c>
      <c r="B65" s="17"/>
      <c r="C65" s="18" t="str">
        <f>C3</f>
        <v>VOTES</v>
      </c>
      <c r="D65" s="18" t="s">
        <v>14</v>
      </c>
      <c r="E65" s="18" t="s">
        <v>14</v>
      </c>
      <c r="F65" s="18" t="s">
        <v>14</v>
      </c>
      <c r="G65" s="24" t="s">
        <v>15</v>
      </c>
      <c r="H65" s="22" t="s">
        <v>272</v>
      </c>
      <c r="I65" s="22" t="s">
        <v>285</v>
      </c>
      <c r="J65" s="32"/>
      <c r="K65" s="32"/>
    </row>
    <row r="66" spans="1:11">
      <c r="A66" s="37"/>
      <c r="B66" s="18" t="s">
        <v>50</v>
      </c>
      <c r="C66" s="18"/>
      <c r="D66" s="19"/>
      <c r="E66" s="19"/>
      <c r="F66" s="37"/>
      <c r="G66" s="50"/>
      <c r="H66" s="37"/>
      <c r="I66" s="37"/>
      <c r="J66" s="32"/>
      <c r="K66" s="32"/>
    </row>
    <row r="67" spans="1:11">
      <c r="A67" s="37"/>
      <c r="B67" s="29" t="s">
        <v>16</v>
      </c>
      <c r="C67" s="18"/>
      <c r="D67" s="19"/>
      <c r="E67" s="19"/>
      <c r="F67" s="37"/>
      <c r="G67" s="50"/>
      <c r="H67" s="37"/>
      <c r="I67" s="37"/>
      <c r="J67" s="32"/>
      <c r="K67" s="32"/>
    </row>
    <row r="68" spans="1:11">
      <c r="A68" s="16">
        <v>1483840</v>
      </c>
      <c r="B68" s="17" t="s">
        <v>51</v>
      </c>
      <c r="C68" s="18">
        <v>5270</v>
      </c>
      <c r="D68" s="19">
        <v>963716</v>
      </c>
      <c r="E68" s="19">
        <f>F68</f>
        <v>3100000</v>
      </c>
      <c r="F68" s="51">
        <v>3100000</v>
      </c>
      <c r="G68" s="52">
        <f>+E68*0.1+E68-249350</f>
        <v>3160650</v>
      </c>
      <c r="H68" s="51">
        <f>G68*10/100+G68</f>
        <v>3476715</v>
      </c>
      <c r="I68" s="51">
        <f>H68*10/100+H68</f>
        <v>3824386.5</v>
      </c>
      <c r="J68" s="32"/>
      <c r="K68" s="32"/>
    </row>
    <row r="69" spans="1:11">
      <c r="A69" s="16">
        <v>300000</v>
      </c>
      <c r="B69" s="17" t="s">
        <v>52</v>
      </c>
      <c r="C69" s="18">
        <v>5272</v>
      </c>
      <c r="D69" s="19">
        <v>0</v>
      </c>
      <c r="E69" s="19">
        <f>+F69</f>
        <v>200000</v>
      </c>
      <c r="F69" s="51">
        <v>200000</v>
      </c>
      <c r="G69" s="52">
        <v>0</v>
      </c>
      <c r="H69" s="51">
        <f>+G69</f>
        <v>0</v>
      </c>
      <c r="I69" s="51">
        <f>+H69</f>
        <v>0</v>
      </c>
      <c r="J69" s="32"/>
      <c r="K69" s="32"/>
    </row>
    <row r="70" spans="1:11">
      <c r="A70" s="16">
        <v>134875.16</v>
      </c>
      <c r="B70" s="17" t="s">
        <v>53</v>
      </c>
      <c r="C70" s="18">
        <v>5273</v>
      </c>
      <c r="D70" s="19">
        <v>0</v>
      </c>
      <c r="E70" s="19">
        <v>0</v>
      </c>
      <c r="F70" s="51">
        <v>0</v>
      </c>
      <c r="G70" s="52">
        <f t="shared" ref="G70" si="21">+E70*0.1+E70</f>
        <v>0</v>
      </c>
      <c r="H70" s="51">
        <f t="shared" ref="H70:I70" si="22">G70*10/100+G70</f>
        <v>0</v>
      </c>
      <c r="I70" s="51">
        <f t="shared" si="22"/>
        <v>0</v>
      </c>
      <c r="J70" s="32"/>
      <c r="K70" s="32"/>
    </row>
    <row r="71" spans="1:11">
      <c r="A71" s="16">
        <v>0</v>
      </c>
      <c r="B71" s="17" t="s">
        <v>320</v>
      </c>
      <c r="C71" s="18">
        <v>5051</v>
      </c>
      <c r="D71" s="19">
        <v>0</v>
      </c>
      <c r="E71" s="19">
        <f>+F71</f>
        <v>500000</v>
      </c>
      <c r="F71" s="51">
        <v>500000</v>
      </c>
      <c r="G71" s="52">
        <v>200000</v>
      </c>
      <c r="H71" s="51">
        <f t="shared" ref="H71:I71" si="23">G71*10/100+G71</f>
        <v>220000</v>
      </c>
      <c r="I71" s="51">
        <f t="shared" si="23"/>
        <v>242000</v>
      </c>
      <c r="J71" s="32"/>
      <c r="K71" s="32"/>
    </row>
    <row r="72" spans="1:11">
      <c r="A72" s="16">
        <v>0</v>
      </c>
      <c r="B72" s="17" t="s">
        <v>321</v>
      </c>
      <c r="C72" s="18">
        <v>5052</v>
      </c>
      <c r="D72" s="19">
        <v>0</v>
      </c>
      <c r="E72" s="19">
        <f>+F72</f>
        <v>750000</v>
      </c>
      <c r="F72" s="51">
        <v>750000</v>
      </c>
      <c r="G72" s="52">
        <v>0</v>
      </c>
      <c r="H72" s="51">
        <f t="shared" ref="H72:I72" si="24">G72*10/100+G72</f>
        <v>0</v>
      </c>
      <c r="I72" s="51">
        <f t="shared" si="24"/>
        <v>0</v>
      </c>
      <c r="J72" s="32"/>
      <c r="K72" s="32"/>
    </row>
    <row r="73" spans="1:11">
      <c r="A73" s="16">
        <v>0</v>
      </c>
      <c r="B73" s="17" t="s">
        <v>322</v>
      </c>
      <c r="C73" s="18">
        <v>5053</v>
      </c>
      <c r="D73" s="19">
        <v>0</v>
      </c>
      <c r="E73" s="19">
        <f>F73</f>
        <v>500000</v>
      </c>
      <c r="F73" s="51">
        <v>500000</v>
      </c>
      <c r="G73" s="52">
        <v>0</v>
      </c>
      <c r="H73" s="51">
        <f t="shared" ref="H73:I73" si="25">G73*10/100+G73</f>
        <v>0</v>
      </c>
      <c r="I73" s="51">
        <f t="shared" si="25"/>
        <v>0</v>
      </c>
      <c r="J73" s="32"/>
      <c r="K73" s="32"/>
    </row>
    <row r="74" spans="1:11">
      <c r="A74" s="16">
        <v>0</v>
      </c>
      <c r="B74" s="17" t="s">
        <v>323</v>
      </c>
      <c r="C74" s="18">
        <v>5054</v>
      </c>
      <c r="D74" s="19">
        <v>0</v>
      </c>
      <c r="E74" s="19">
        <f>+F74</f>
        <v>350000</v>
      </c>
      <c r="F74" s="51">
        <v>350000</v>
      </c>
      <c r="G74" s="52">
        <v>0</v>
      </c>
      <c r="H74" s="51">
        <f t="shared" ref="H74:I74" si="26">G74*10/100+G74</f>
        <v>0</v>
      </c>
      <c r="I74" s="51">
        <f t="shared" si="26"/>
        <v>0</v>
      </c>
      <c r="J74" s="32"/>
      <c r="K74" s="32"/>
    </row>
    <row r="75" spans="1:11">
      <c r="A75" s="49">
        <f>SUM(A66:A74)</f>
        <v>1918715.16</v>
      </c>
      <c r="B75" s="18"/>
      <c r="C75" s="18"/>
      <c r="D75" s="49">
        <f t="shared" ref="D75:I75" si="27">SUM(D66:D74)</f>
        <v>963716</v>
      </c>
      <c r="E75" s="49">
        <f t="shared" si="27"/>
        <v>5400000</v>
      </c>
      <c r="F75" s="49">
        <f t="shared" si="27"/>
        <v>5400000</v>
      </c>
      <c r="G75" s="48">
        <f t="shared" si="27"/>
        <v>3360650</v>
      </c>
      <c r="H75" s="49">
        <f t="shared" si="27"/>
        <v>3696715</v>
      </c>
      <c r="I75" s="49">
        <f t="shared" si="27"/>
        <v>4066386.5</v>
      </c>
      <c r="J75" s="32"/>
      <c r="K75" s="32"/>
    </row>
    <row r="76" spans="1:11">
      <c r="A76" s="37"/>
      <c r="B76" s="17"/>
      <c r="C76" s="18"/>
      <c r="D76" s="19"/>
      <c r="E76" s="19"/>
      <c r="F76" s="30"/>
      <c r="G76" s="31"/>
      <c r="H76" s="30"/>
      <c r="I76" s="30"/>
      <c r="J76" s="32"/>
      <c r="K76" s="32"/>
    </row>
    <row r="77" spans="1:11">
      <c r="A77" s="37"/>
      <c r="B77" s="29" t="s">
        <v>22</v>
      </c>
      <c r="C77" s="18"/>
      <c r="D77" s="19"/>
      <c r="E77" s="19"/>
      <c r="F77" s="30"/>
      <c r="G77" s="31"/>
      <c r="H77" s="30"/>
      <c r="I77" s="30"/>
      <c r="J77" s="32"/>
      <c r="K77" s="32"/>
    </row>
    <row r="78" spans="1:11">
      <c r="A78" s="38"/>
      <c r="B78" s="39" t="s">
        <v>23</v>
      </c>
      <c r="C78" s="29"/>
      <c r="D78" s="40"/>
      <c r="E78" s="40"/>
      <c r="F78" s="30"/>
      <c r="G78" s="31"/>
      <c r="H78" s="30"/>
      <c r="I78" s="30"/>
      <c r="J78" s="32"/>
      <c r="K78" s="32"/>
    </row>
    <row r="79" spans="1:11">
      <c r="A79" s="16">
        <v>1259300</v>
      </c>
      <c r="B79" s="17" t="s">
        <v>54</v>
      </c>
      <c r="C79" s="18">
        <v>6010</v>
      </c>
      <c r="D79" s="19">
        <v>458456.03</v>
      </c>
      <c r="E79" s="19">
        <f>+F79</f>
        <v>1588213.16</v>
      </c>
      <c r="F79" s="34">
        <f>+'[1]STAFF SALARIES SUMMARY'!C7+'[1]STAFF SALARIES SUMMARY'!D7</f>
        <v>1588213.16</v>
      </c>
      <c r="G79" s="21">
        <f>+E79*8.3/100+E79</f>
        <v>1720034.85228</v>
      </c>
      <c r="H79" s="34">
        <f t="shared" ref="H79:I83" si="28">G79*8.3/100+G79</f>
        <v>1862797.7450192401</v>
      </c>
      <c r="I79" s="34">
        <f t="shared" si="28"/>
        <v>2017409.957855837</v>
      </c>
      <c r="J79" s="32"/>
      <c r="K79" s="32"/>
    </row>
    <row r="80" spans="1:11">
      <c r="A80" s="16">
        <v>47020</v>
      </c>
      <c r="B80" s="17" t="s">
        <v>55</v>
      </c>
      <c r="C80" s="18">
        <v>6030</v>
      </c>
      <c r="D80" s="19">
        <v>18127.8</v>
      </c>
      <c r="E80" s="19">
        <f>+F80/2</f>
        <v>51844.39</v>
      </c>
      <c r="F80" s="20">
        <f>+'[1]STAFF SALARIES SUMMARY'!I7</f>
        <v>103688.78</v>
      </c>
      <c r="G80" s="21">
        <f>+E80*8.3/100+E80</f>
        <v>56147.474369999996</v>
      </c>
      <c r="H80" s="34">
        <f t="shared" si="28"/>
        <v>60807.714742709999</v>
      </c>
      <c r="I80" s="34">
        <f t="shared" si="28"/>
        <v>65854.755066354934</v>
      </c>
      <c r="J80" s="32"/>
      <c r="K80" s="32"/>
    </row>
    <row r="81" spans="1:11">
      <c r="A81" s="16">
        <v>61170</v>
      </c>
      <c r="B81" s="17" t="s">
        <v>56</v>
      </c>
      <c r="C81" s="18">
        <v>6050</v>
      </c>
      <c r="D81" s="19">
        <v>29493.14</v>
      </c>
      <c r="E81" s="19">
        <f>+F81/2</f>
        <v>81344.39</v>
      </c>
      <c r="F81" s="20">
        <f>+'[1]STAFF SALARIES SUMMARY'!H7</f>
        <v>162688.78</v>
      </c>
      <c r="G81" s="21">
        <f>+E81*8.3/100+E81</f>
        <v>88095.974369999996</v>
      </c>
      <c r="H81" s="34">
        <f t="shared" si="28"/>
        <v>95407.940242709999</v>
      </c>
      <c r="I81" s="34">
        <f t="shared" si="28"/>
        <v>103326.79928285493</v>
      </c>
      <c r="J81" s="32"/>
      <c r="K81" s="32"/>
    </row>
    <row r="82" spans="1:11">
      <c r="A82" s="16">
        <v>282750</v>
      </c>
      <c r="B82" s="17" t="s">
        <v>57</v>
      </c>
      <c r="C82" s="18">
        <v>6070</v>
      </c>
      <c r="D82" s="19">
        <v>91299.9</v>
      </c>
      <c r="E82" s="19">
        <f>+F82</f>
        <v>377910</v>
      </c>
      <c r="F82" s="20">
        <f>+'[1]STAFF SALARIES SUMMARY'!E7</f>
        <v>377910</v>
      </c>
      <c r="G82" s="21">
        <f>+E82*8.3/100+E82</f>
        <v>409276.53</v>
      </c>
      <c r="H82" s="34">
        <f t="shared" si="28"/>
        <v>443246.48199</v>
      </c>
      <c r="I82" s="34">
        <f t="shared" si="28"/>
        <v>480035.93999516999</v>
      </c>
      <c r="J82" s="32"/>
      <c r="K82" s="32"/>
    </row>
    <row r="83" spans="1:11">
      <c r="A83" s="16">
        <v>11000</v>
      </c>
      <c r="B83" s="17" t="s">
        <v>59</v>
      </c>
      <c r="C83" s="18">
        <v>6085</v>
      </c>
      <c r="D83" s="19">
        <v>1249.98</v>
      </c>
      <c r="E83" s="19">
        <f>+F83/2</f>
        <v>10380</v>
      </c>
      <c r="F83" s="20">
        <f>+'[1]STAFF SALARIES SUMMARY'!F7</f>
        <v>20760</v>
      </c>
      <c r="G83" s="21">
        <f>+E83*8.3/100+E83</f>
        <v>11241.54</v>
      </c>
      <c r="H83" s="34">
        <f t="shared" si="28"/>
        <v>12174.587820000001</v>
      </c>
      <c r="I83" s="34">
        <f t="shared" si="28"/>
        <v>13185.078609060001</v>
      </c>
      <c r="J83" s="32"/>
      <c r="K83" s="32"/>
    </row>
    <row r="84" spans="1:11">
      <c r="A84" s="16">
        <v>200</v>
      </c>
      <c r="B84" s="17" t="s">
        <v>60</v>
      </c>
      <c r="C84" s="18">
        <v>6088</v>
      </c>
      <c r="D84" s="19">
        <v>67.5</v>
      </c>
      <c r="E84" s="19">
        <f>F84</f>
        <v>442</v>
      </c>
      <c r="F84" s="20">
        <f>+'[1]STAFF SALARIES SUMMARY'!K7</f>
        <v>442</v>
      </c>
      <c r="G84" s="21">
        <f t="shared" ref="G84:G85" si="29">+E84*8.3/100+E84</f>
        <v>478.68600000000004</v>
      </c>
      <c r="H84" s="34">
        <f t="shared" ref="H84:I84" si="30">G84*8.3/100+G84</f>
        <v>518.41693800000007</v>
      </c>
      <c r="I84" s="34">
        <f t="shared" si="30"/>
        <v>561.44554385400011</v>
      </c>
      <c r="J84" s="32"/>
      <c r="K84" s="32"/>
    </row>
    <row r="85" spans="1:11">
      <c r="A85" s="16">
        <v>3410</v>
      </c>
      <c r="B85" s="17" t="s">
        <v>61</v>
      </c>
      <c r="C85" s="18">
        <v>6087</v>
      </c>
      <c r="D85" s="19">
        <v>2548.08</v>
      </c>
      <c r="E85" s="19">
        <f>+F85/2</f>
        <v>6871.915</v>
      </c>
      <c r="F85" s="20">
        <f>+'[1]STAFF SALARIES SUMMARY'!J7</f>
        <v>13743.83</v>
      </c>
      <c r="G85" s="21">
        <f t="shared" si="29"/>
        <v>7442.2839450000001</v>
      </c>
      <c r="H85" s="34">
        <f t="shared" ref="H85:I85" si="31">G85*8.3/100+G85</f>
        <v>8059.9935124350004</v>
      </c>
      <c r="I85" s="34">
        <f t="shared" si="31"/>
        <v>8728.9729739671056</v>
      </c>
      <c r="J85" s="32"/>
      <c r="K85" s="32"/>
    </row>
    <row r="86" spans="1:11">
      <c r="A86" s="30">
        <f>SUM(A79:A85)</f>
        <v>1664850</v>
      </c>
      <c r="B86" s="17"/>
      <c r="C86" s="18"/>
      <c r="D86" s="36">
        <f t="shared" ref="D86:I86" si="32">SUM(D79:D85)</f>
        <v>601242.42999999993</v>
      </c>
      <c r="E86" s="30">
        <f t="shared" si="32"/>
        <v>2117005.8549999995</v>
      </c>
      <c r="F86" s="30">
        <f t="shared" si="32"/>
        <v>2267446.5499999998</v>
      </c>
      <c r="G86" s="31">
        <f t="shared" si="32"/>
        <v>2292717.340965</v>
      </c>
      <c r="H86" s="30">
        <f t="shared" si="32"/>
        <v>2483012.8802650948</v>
      </c>
      <c r="I86" s="30">
        <f t="shared" si="32"/>
        <v>2689102.9493270982</v>
      </c>
      <c r="J86" s="32"/>
      <c r="K86" s="32"/>
    </row>
    <row r="87" spans="1:11">
      <c r="A87" s="37"/>
      <c r="B87" s="39" t="s">
        <v>30</v>
      </c>
      <c r="C87" s="18"/>
      <c r="D87" s="19"/>
      <c r="E87" s="19"/>
      <c r="F87" s="30"/>
      <c r="G87" s="31"/>
      <c r="H87" s="30"/>
      <c r="I87" s="30"/>
      <c r="J87" s="32"/>
      <c r="K87" s="32"/>
    </row>
    <row r="88" spans="1:11">
      <c r="A88" s="16">
        <v>20150</v>
      </c>
      <c r="B88" s="17" t="s">
        <v>33</v>
      </c>
      <c r="C88" s="18">
        <v>6570</v>
      </c>
      <c r="D88" s="19">
        <v>0</v>
      </c>
      <c r="E88" s="19">
        <f>+F88/2</f>
        <v>10578.75</v>
      </c>
      <c r="F88" s="34">
        <f>+A88*0.05+A88</f>
        <v>21157.5</v>
      </c>
      <c r="G88" s="21">
        <f>F88*6.3%+21157.5</f>
        <v>22490.422500000001</v>
      </c>
      <c r="H88" s="34">
        <f>+E88*6.3/100+E88</f>
        <v>11245.21125</v>
      </c>
      <c r="I88" s="34">
        <f>+H88*6.3/100+H88</f>
        <v>11953.65955875</v>
      </c>
      <c r="J88" s="32"/>
      <c r="K88" s="32"/>
    </row>
    <row r="89" spans="1:11">
      <c r="A89" s="16">
        <v>12640</v>
      </c>
      <c r="B89" s="17" t="s">
        <v>62</v>
      </c>
      <c r="C89" s="18">
        <v>6690</v>
      </c>
      <c r="D89" s="19">
        <v>0</v>
      </c>
      <c r="E89" s="19">
        <f>+F89/2</f>
        <v>6636</v>
      </c>
      <c r="F89" s="20">
        <f>+A89*0.05+A89</f>
        <v>13272</v>
      </c>
      <c r="G89" s="21">
        <f>F89*6.3%+13272</f>
        <v>14108.136</v>
      </c>
      <c r="H89" s="34">
        <f t="shared" ref="H89" si="33">+E89*6.3/100+E89</f>
        <v>7054.0680000000002</v>
      </c>
      <c r="I89" s="34">
        <f t="shared" ref="I89" si="34">+H89*6.3/100+H89</f>
        <v>7498.4742839999999</v>
      </c>
      <c r="J89" s="32"/>
      <c r="K89" s="32"/>
    </row>
    <row r="90" spans="1:11">
      <c r="A90" s="41">
        <v>5500</v>
      </c>
      <c r="B90" s="17" t="s">
        <v>39</v>
      </c>
      <c r="C90" s="42">
        <v>6990</v>
      </c>
      <c r="D90" s="43">
        <v>598.4</v>
      </c>
      <c r="E90" s="43">
        <f>+F90</f>
        <v>5775</v>
      </c>
      <c r="F90" s="20">
        <f>+A90*0.05+A90</f>
        <v>5775</v>
      </c>
      <c r="G90" s="21">
        <v>0</v>
      </c>
      <c r="H90" s="34">
        <v>0</v>
      </c>
      <c r="I90" s="45">
        <f>+I53-I85</f>
        <v>140740.67091888288</v>
      </c>
      <c r="J90" s="32"/>
      <c r="K90" s="32"/>
    </row>
    <row r="91" spans="1:11">
      <c r="A91" s="41">
        <v>15000</v>
      </c>
      <c r="B91" s="17" t="s">
        <v>63</v>
      </c>
      <c r="C91" s="42">
        <v>7020</v>
      </c>
      <c r="D91" s="43">
        <v>11258</v>
      </c>
      <c r="E91" s="43">
        <f>+D91*2</f>
        <v>22516</v>
      </c>
      <c r="F91" s="20">
        <f>+A91*0.05+A91</f>
        <v>15750</v>
      </c>
      <c r="G91" s="21">
        <f t="shared" ref="G91:G96" si="35">+E91*6.3/100+E91</f>
        <v>23934.508000000002</v>
      </c>
      <c r="H91" s="20">
        <f t="shared" ref="H91:H97" si="36">+G91*6.3/100+G91</f>
        <v>25442.382004000003</v>
      </c>
      <c r="I91" s="20">
        <f>F91*6.3/100+F91</f>
        <v>16742.25</v>
      </c>
      <c r="J91" s="32"/>
      <c r="K91" s="32"/>
    </row>
    <row r="92" spans="1:11">
      <c r="A92" s="41">
        <v>24000</v>
      </c>
      <c r="B92" s="17" t="s">
        <v>64</v>
      </c>
      <c r="C92" s="42">
        <v>7021</v>
      </c>
      <c r="D92" s="43">
        <v>15786.13</v>
      </c>
      <c r="E92" s="43">
        <f>+D92*2</f>
        <v>31572.26</v>
      </c>
      <c r="F92" s="20">
        <f>+A92*0.1+A92</f>
        <v>26400</v>
      </c>
      <c r="G92" s="21">
        <f t="shared" si="35"/>
        <v>33561.312379999996</v>
      </c>
      <c r="H92" s="20">
        <f t="shared" si="36"/>
        <v>35675.675059939997</v>
      </c>
      <c r="I92" s="20">
        <f t="shared" ref="I92:I97" si="37">+H92*6.3/100+H92</f>
        <v>37923.242588716217</v>
      </c>
      <c r="J92" s="32"/>
      <c r="K92" s="32"/>
    </row>
    <row r="93" spans="1:11">
      <c r="A93" s="16">
        <v>150000</v>
      </c>
      <c r="B93" s="17" t="s">
        <v>52</v>
      </c>
      <c r="C93" s="18">
        <v>7025</v>
      </c>
      <c r="D93" s="19">
        <v>2110</v>
      </c>
      <c r="E93" s="19">
        <v>100000</v>
      </c>
      <c r="F93" s="20">
        <v>150000</v>
      </c>
      <c r="G93" s="21">
        <v>100000</v>
      </c>
      <c r="H93" s="20">
        <f t="shared" si="36"/>
        <v>106300</v>
      </c>
      <c r="I93" s="20">
        <f t="shared" si="37"/>
        <v>112996.9</v>
      </c>
      <c r="J93" s="32"/>
      <c r="K93" s="32"/>
    </row>
    <row r="94" spans="1:11">
      <c r="A94" s="16">
        <v>134875.16</v>
      </c>
      <c r="B94" s="17" t="s">
        <v>53</v>
      </c>
      <c r="C94" s="18">
        <v>7028</v>
      </c>
      <c r="D94" s="19">
        <v>0</v>
      </c>
      <c r="E94" s="19">
        <f>+F94/2</f>
        <v>50000</v>
      </c>
      <c r="F94" s="20">
        <v>100000</v>
      </c>
      <c r="G94" s="21">
        <v>50000</v>
      </c>
      <c r="H94" s="20">
        <f t="shared" si="36"/>
        <v>53150</v>
      </c>
      <c r="I94" s="20">
        <f t="shared" si="37"/>
        <v>56498.45</v>
      </c>
      <c r="J94" s="32"/>
      <c r="K94" s="32"/>
    </row>
    <row r="95" spans="1:11">
      <c r="A95" s="16">
        <v>220000</v>
      </c>
      <c r="B95" s="17" t="s">
        <v>40</v>
      </c>
      <c r="C95" s="18">
        <v>7070</v>
      </c>
      <c r="D95" s="19">
        <v>25666.3</v>
      </c>
      <c r="E95" s="19">
        <v>75000</v>
      </c>
      <c r="F95" s="20">
        <v>200000</v>
      </c>
      <c r="G95" s="21">
        <f t="shared" si="35"/>
        <v>79725</v>
      </c>
      <c r="H95" s="20">
        <f t="shared" si="36"/>
        <v>84747.675000000003</v>
      </c>
      <c r="I95" s="20">
        <f t="shared" si="37"/>
        <v>90086.778525000002</v>
      </c>
      <c r="J95" s="32"/>
      <c r="K95" s="32"/>
    </row>
    <row r="96" spans="1:11">
      <c r="A96" s="16">
        <v>31500</v>
      </c>
      <c r="B96" s="17" t="s">
        <v>65</v>
      </c>
      <c r="C96" s="18">
        <v>7081</v>
      </c>
      <c r="D96" s="19">
        <v>43569.120000000003</v>
      </c>
      <c r="E96" s="19">
        <v>50000</v>
      </c>
      <c r="F96" s="20">
        <f>31500*0.1+31500</f>
        <v>34650</v>
      </c>
      <c r="G96" s="21">
        <f t="shared" si="35"/>
        <v>53150</v>
      </c>
      <c r="H96" s="20">
        <f t="shared" si="36"/>
        <v>56498.45</v>
      </c>
      <c r="I96" s="20">
        <f t="shared" si="37"/>
        <v>60057.852349999994</v>
      </c>
      <c r="J96" s="32"/>
      <c r="K96" s="32"/>
    </row>
    <row r="97" spans="1:11">
      <c r="A97" s="16">
        <v>150000</v>
      </c>
      <c r="B97" s="17" t="s">
        <v>66</v>
      </c>
      <c r="C97" s="18">
        <v>7191</v>
      </c>
      <c r="D97" s="19">
        <v>166714.48000000001</v>
      </c>
      <c r="E97" s="19">
        <f>+D97*2-87000</f>
        <v>246428.96000000002</v>
      </c>
      <c r="F97" s="20">
        <v>160000</v>
      </c>
      <c r="G97" s="21">
        <v>260000</v>
      </c>
      <c r="H97" s="20">
        <f t="shared" si="36"/>
        <v>276380</v>
      </c>
      <c r="I97" s="20">
        <f t="shared" si="37"/>
        <v>293791.94</v>
      </c>
      <c r="J97" s="32"/>
      <c r="K97" s="32"/>
    </row>
    <row r="98" spans="1:11">
      <c r="A98" s="16">
        <v>0</v>
      </c>
      <c r="B98" s="17" t="s">
        <v>324</v>
      </c>
      <c r="C98" s="18">
        <v>6941</v>
      </c>
      <c r="D98" s="19">
        <v>32000</v>
      </c>
      <c r="E98" s="19">
        <f>+F98</f>
        <v>500000</v>
      </c>
      <c r="F98" s="20">
        <v>500000</v>
      </c>
      <c r="G98" s="21">
        <v>200000</v>
      </c>
      <c r="H98" s="20">
        <v>0</v>
      </c>
      <c r="I98" s="20">
        <v>0</v>
      </c>
      <c r="J98" s="32"/>
      <c r="K98" s="32"/>
    </row>
    <row r="99" spans="1:11">
      <c r="A99" s="16">
        <v>0</v>
      </c>
      <c r="B99" s="17" t="s">
        <v>325</v>
      </c>
      <c r="C99" s="18">
        <v>6942</v>
      </c>
      <c r="D99" s="19">
        <v>0</v>
      </c>
      <c r="E99" s="19">
        <f>+F99</f>
        <v>750000</v>
      </c>
      <c r="F99" s="20">
        <v>750000</v>
      </c>
      <c r="G99" s="21">
        <v>0</v>
      </c>
      <c r="H99" s="20">
        <v>0</v>
      </c>
      <c r="I99" s="20">
        <v>0</v>
      </c>
      <c r="J99" s="32"/>
      <c r="K99" s="32"/>
    </row>
    <row r="100" spans="1:11">
      <c r="A100" s="16">
        <v>0</v>
      </c>
      <c r="B100" s="17" t="s">
        <v>326</v>
      </c>
      <c r="C100" s="18">
        <v>6592</v>
      </c>
      <c r="D100" s="19">
        <v>0</v>
      </c>
      <c r="E100" s="19">
        <f>+F100</f>
        <v>500000</v>
      </c>
      <c r="F100" s="20">
        <v>500000</v>
      </c>
      <c r="G100" s="21">
        <v>0</v>
      </c>
      <c r="H100" s="20">
        <v>0</v>
      </c>
      <c r="I100" s="20">
        <v>0</v>
      </c>
      <c r="J100" s="32"/>
      <c r="K100" s="32"/>
    </row>
    <row r="101" spans="1:11">
      <c r="A101" s="16">
        <v>0</v>
      </c>
      <c r="B101" s="17" t="s">
        <v>327</v>
      </c>
      <c r="C101" s="18">
        <v>6591</v>
      </c>
      <c r="D101" s="19">
        <v>0</v>
      </c>
      <c r="E101" s="19">
        <f>+F101</f>
        <v>350000</v>
      </c>
      <c r="F101" s="20">
        <v>350000</v>
      </c>
      <c r="G101" s="21">
        <v>0</v>
      </c>
      <c r="H101" s="20">
        <v>0</v>
      </c>
      <c r="I101" s="20">
        <v>0</v>
      </c>
      <c r="J101" s="32"/>
      <c r="K101" s="32"/>
    </row>
    <row r="102" spans="1:11">
      <c r="A102" s="16">
        <v>0</v>
      </c>
      <c r="B102" s="17" t="s">
        <v>479</v>
      </c>
      <c r="C102" s="18">
        <v>6593</v>
      </c>
      <c r="D102" s="19">
        <v>0</v>
      </c>
      <c r="E102" s="19">
        <v>250000</v>
      </c>
      <c r="F102" s="20">
        <v>0</v>
      </c>
      <c r="G102" s="21">
        <f>F102*6.3%+250000</f>
        <v>250000</v>
      </c>
      <c r="H102" s="34">
        <v>250000</v>
      </c>
      <c r="I102" s="34">
        <v>250000</v>
      </c>
      <c r="J102" s="32" t="s">
        <v>573</v>
      </c>
      <c r="K102" s="32"/>
    </row>
    <row r="103" spans="1:11">
      <c r="A103" s="16">
        <v>0</v>
      </c>
      <c r="B103" s="17" t="s">
        <v>502</v>
      </c>
      <c r="C103" s="18"/>
      <c r="D103" s="19">
        <v>0</v>
      </c>
      <c r="E103" s="19">
        <v>0</v>
      </c>
      <c r="F103" s="20">
        <v>0</v>
      </c>
      <c r="G103" s="21">
        <v>159500</v>
      </c>
      <c r="H103" s="34">
        <v>159500</v>
      </c>
      <c r="I103" s="34">
        <v>159500</v>
      </c>
      <c r="J103" s="32"/>
      <c r="K103" s="32"/>
    </row>
    <row r="104" spans="1:11">
      <c r="A104" s="30">
        <f>SUM(A88:A103)</f>
        <v>763665.16</v>
      </c>
      <c r="B104" s="17"/>
      <c r="C104" s="18"/>
      <c r="D104" s="36">
        <f>SUM(D88:D103)</f>
        <v>297702.43000000005</v>
      </c>
      <c r="E104" s="36">
        <f t="shared" ref="E104:I104" si="38">SUM(E88:E103)</f>
        <v>2948506.9699999997</v>
      </c>
      <c r="F104" s="36">
        <f t="shared" si="38"/>
        <v>2827004.5</v>
      </c>
      <c r="G104" s="48">
        <f t="shared" si="38"/>
        <v>1246469.37888</v>
      </c>
      <c r="H104" s="36">
        <f t="shared" si="38"/>
        <v>1065993.4613139401</v>
      </c>
      <c r="I104" s="36">
        <f t="shared" si="38"/>
        <v>1237790.218225349</v>
      </c>
      <c r="J104" s="32"/>
      <c r="K104" s="32"/>
    </row>
    <row r="105" spans="1:11">
      <c r="A105" s="37"/>
      <c r="B105" s="39" t="s">
        <v>67</v>
      </c>
      <c r="C105" s="18"/>
      <c r="D105" s="19"/>
      <c r="E105" s="19"/>
      <c r="F105" s="30"/>
      <c r="G105" s="31"/>
      <c r="H105" s="30"/>
      <c r="I105" s="30"/>
      <c r="J105" s="32"/>
      <c r="K105" s="32"/>
    </row>
    <row r="106" spans="1:11">
      <c r="A106" s="16">
        <v>8200</v>
      </c>
      <c r="B106" s="17" t="s">
        <v>68</v>
      </c>
      <c r="C106" s="18">
        <v>7800</v>
      </c>
      <c r="D106" s="19">
        <v>17600.84</v>
      </c>
      <c r="E106" s="19">
        <f>+F106</f>
        <v>85000</v>
      </c>
      <c r="F106" s="34">
        <v>85000</v>
      </c>
      <c r="G106" s="21">
        <f>F106*6.3%+85000</f>
        <v>90355</v>
      </c>
      <c r="H106" s="34">
        <f>+G106*0.1+G106</f>
        <v>99390.5</v>
      </c>
      <c r="I106" s="34">
        <f>+H106*0.1+H106</f>
        <v>109329.55</v>
      </c>
      <c r="J106" s="32"/>
      <c r="K106" s="32"/>
    </row>
    <row r="107" spans="1:11">
      <c r="A107" s="30">
        <f>SUM(A106)</f>
        <v>8200</v>
      </c>
      <c r="B107" s="44"/>
      <c r="C107" s="18"/>
      <c r="D107" s="36">
        <f t="shared" ref="D107:I107" si="39">SUM(D106)</f>
        <v>17600.84</v>
      </c>
      <c r="E107" s="30">
        <f t="shared" si="39"/>
        <v>85000</v>
      </c>
      <c r="F107" s="30">
        <f t="shared" si="39"/>
        <v>85000</v>
      </c>
      <c r="G107" s="31">
        <f t="shared" si="39"/>
        <v>90355</v>
      </c>
      <c r="H107" s="30">
        <f t="shared" si="39"/>
        <v>99390.5</v>
      </c>
      <c r="I107" s="30">
        <f t="shared" si="39"/>
        <v>109329.55</v>
      </c>
      <c r="J107" s="32"/>
      <c r="K107" s="32"/>
    </row>
    <row r="108" spans="1:11">
      <c r="A108" s="37"/>
      <c r="B108" s="17"/>
      <c r="C108" s="18"/>
      <c r="D108" s="19"/>
      <c r="E108" s="19"/>
      <c r="F108" s="30"/>
      <c r="G108" s="31"/>
      <c r="H108" s="30"/>
      <c r="I108" s="30"/>
      <c r="J108" s="32"/>
      <c r="K108" s="32"/>
    </row>
    <row r="109" spans="1:11">
      <c r="A109" s="45">
        <f>+A107+A104+A86</f>
        <v>2436715.16</v>
      </c>
      <c r="B109" s="39" t="s">
        <v>46</v>
      </c>
      <c r="C109" s="18"/>
      <c r="D109" s="45">
        <f t="shared" ref="D109:I109" si="40">+D107+D104+D86</f>
        <v>916545.7</v>
      </c>
      <c r="E109" s="45">
        <f t="shared" si="40"/>
        <v>5150512.8249999993</v>
      </c>
      <c r="F109" s="45">
        <f t="shared" si="40"/>
        <v>5179451.05</v>
      </c>
      <c r="G109" s="31">
        <f t="shared" si="40"/>
        <v>3629541.7198449997</v>
      </c>
      <c r="H109" s="45">
        <f t="shared" si="40"/>
        <v>3648396.8415790349</v>
      </c>
      <c r="I109" s="45">
        <f t="shared" si="40"/>
        <v>4036222.7175524472</v>
      </c>
      <c r="J109" s="32"/>
      <c r="K109" s="32"/>
    </row>
    <row r="110" spans="1:11">
      <c r="A110" s="37"/>
      <c r="B110" s="39"/>
      <c r="C110" s="18"/>
      <c r="D110" s="19"/>
      <c r="E110" s="19"/>
      <c r="F110" s="45"/>
      <c r="G110" s="31"/>
      <c r="H110" s="45"/>
      <c r="I110" s="45"/>
      <c r="J110" s="32"/>
      <c r="K110" s="32"/>
    </row>
    <row r="111" spans="1:11">
      <c r="A111" s="37"/>
      <c r="B111" s="39" t="s">
        <v>71</v>
      </c>
      <c r="C111" s="18"/>
      <c r="D111" s="19"/>
      <c r="E111" s="19"/>
      <c r="F111" s="30"/>
      <c r="G111" s="31"/>
      <c r="H111" s="30"/>
      <c r="I111" s="30"/>
      <c r="J111" s="32"/>
      <c r="K111" s="32"/>
    </row>
    <row r="112" spans="1:11">
      <c r="A112" s="37"/>
      <c r="B112" s="17" t="s">
        <v>47</v>
      </c>
      <c r="C112" s="18"/>
      <c r="D112" s="19"/>
      <c r="E112" s="19"/>
      <c r="F112" s="30"/>
      <c r="G112" s="31"/>
      <c r="H112" s="30"/>
      <c r="I112" s="30"/>
      <c r="J112" s="32"/>
      <c r="K112" s="32"/>
    </row>
    <row r="113" spans="1:11">
      <c r="A113" s="37"/>
      <c r="B113" s="17"/>
      <c r="C113" s="18"/>
      <c r="D113" s="19"/>
      <c r="E113" s="19"/>
      <c r="F113" s="30"/>
      <c r="G113" s="31"/>
      <c r="H113" s="30"/>
      <c r="I113" s="30"/>
      <c r="J113" s="32"/>
      <c r="K113" s="32"/>
    </row>
    <row r="114" spans="1:11">
      <c r="A114" s="45">
        <f>+A75-A109</f>
        <v>-518000.00000000023</v>
      </c>
      <c r="B114" s="39" t="str">
        <f>B60</f>
        <v>NETT AMOUNT</v>
      </c>
      <c r="C114" s="18"/>
      <c r="D114" s="45">
        <f t="shared" ref="D114:E114" si="41">+D75-D109</f>
        <v>47170.300000000047</v>
      </c>
      <c r="E114" s="45">
        <f t="shared" si="41"/>
        <v>249487.17500000075</v>
      </c>
      <c r="F114" s="45">
        <f>+F75-F109</f>
        <v>220548.95000000019</v>
      </c>
      <c r="G114" s="31">
        <f>+G75-G109</f>
        <v>-268891.71984499972</v>
      </c>
      <c r="H114" s="45">
        <f>+H75-H109</f>
        <v>48318.158420965075</v>
      </c>
      <c r="I114" s="45">
        <f>+I75-I109</f>
        <v>30163.782447552774</v>
      </c>
      <c r="J114" s="32"/>
      <c r="K114" s="32"/>
    </row>
    <row r="115" spans="1:11">
      <c r="A115" s="37"/>
      <c r="B115" s="17"/>
      <c r="C115" s="18"/>
      <c r="D115" s="19"/>
      <c r="E115" s="19"/>
      <c r="F115" s="30"/>
      <c r="G115" s="31"/>
      <c r="H115" s="30"/>
      <c r="I115" s="30"/>
      <c r="J115" s="32"/>
      <c r="K115" s="32"/>
    </row>
    <row r="116" spans="1:11">
      <c r="A116" s="37"/>
      <c r="B116" s="17"/>
      <c r="C116" s="18"/>
      <c r="D116" s="19"/>
      <c r="E116" s="19"/>
      <c r="F116" s="37"/>
      <c r="G116" s="50"/>
      <c r="H116" s="30"/>
      <c r="I116" s="30"/>
      <c r="J116" s="32"/>
      <c r="K116" s="32"/>
    </row>
    <row r="117" spans="1:11">
      <c r="A117" s="37" t="s">
        <v>72</v>
      </c>
      <c r="B117" s="29" t="s">
        <v>74</v>
      </c>
      <c r="C117" s="18"/>
      <c r="D117" s="18" t="s">
        <v>469</v>
      </c>
      <c r="E117" s="18" t="s">
        <v>473</v>
      </c>
      <c r="F117" s="18" t="s">
        <v>73</v>
      </c>
      <c r="G117" s="24" t="s">
        <v>73</v>
      </c>
      <c r="H117" s="22" t="s">
        <v>651</v>
      </c>
      <c r="I117" s="22" t="s">
        <v>651</v>
      </c>
      <c r="J117" s="32"/>
      <c r="K117" s="32"/>
    </row>
    <row r="118" spans="1:11">
      <c r="A118" s="37" t="s">
        <v>10</v>
      </c>
      <c r="B118" s="17"/>
      <c r="C118" s="18" t="str">
        <f>C2</f>
        <v>ABAKUS</v>
      </c>
      <c r="D118" s="18" t="s">
        <v>470</v>
      </c>
      <c r="E118" s="18" t="s">
        <v>10</v>
      </c>
      <c r="F118" s="18" t="s">
        <v>11</v>
      </c>
      <c r="G118" s="24" t="s">
        <v>498</v>
      </c>
      <c r="H118" s="22" t="s">
        <v>500</v>
      </c>
      <c r="I118" s="22" t="s">
        <v>498</v>
      </c>
      <c r="J118" s="32"/>
      <c r="K118" s="32"/>
    </row>
    <row r="119" spans="1:11">
      <c r="A119" s="37" t="s">
        <v>13</v>
      </c>
      <c r="B119" s="18" t="s">
        <v>75</v>
      </c>
      <c r="C119" s="18" t="str">
        <f>C3</f>
        <v>VOTES</v>
      </c>
      <c r="D119" s="18" t="s">
        <v>14</v>
      </c>
      <c r="E119" s="18" t="s">
        <v>14</v>
      </c>
      <c r="F119" s="18" t="s">
        <v>14</v>
      </c>
      <c r="G119" s="24" t="s">
        <v>15</v>
      </c>
      <c r="H119" s="22" t="s">
        <v>272</v>
      </c>
      <c r="I119" s="22" t="s">
        <v>285</v>
      </c>
      <c r="J119" s="32"/>
      <c r="K119" s="32"/>
    </row>
    <row r="120" spans="1:11">
      <c r="A120" s="37"/>
      <c r="B120" s="29" t="s">
        <v>16</v>
      </c>
      <c r="C120" s="18"/>
      <c r="D120" s="19"/>
      <c r="E120" s="19"/>
      <c r="F120" s="34"/>
      <c r="G120" s="21"/>
      <c r="H120" s="34"/>
      <c r="I120" s="34"/>
      <c r="J120" s="32"/>
      <c r="K120" s="32"/>
    </row>
    <row r="121" spans="1:11">
      <c r="A121" s="16">
        <v>300000</v>
      </c>
      <c r="B121" s="17" t="s">
        <v>76</v>
      </c>
      <c r="C121" s="18">
        <v>5280</v>
      </c>
      <c r="D121" s="19">
        <v>0</v>
      </c>
      <c r="E121" s="19">
        <v>0</v>
      </c>
      <c r="F121" s="34">
        <v>0</v>
      </c>
      <c r="G121" s="21">
        <f>+F121*0.1+F121</f>
        <v>0</v>
      </c>
      <c r="H121" s="34">
        <f>+G121*0.1+G121</f>
        <v>0</v>
      </c>
      <c r="I121" s="34">
        <f>+H121*0.1+H121</f>
        <v>0</v>
      </c>
      <c r="J121" s="32"/>
      <c r="K121" s="32"/>
    </row>
    <row r="122" spans="1:11">
      <c r="A122" s="16">
        <v>0</v>
      </c>
      <c r="B122" s="17" t="s">
        <v>77</v>
      </c>
      <c r="C122" s="18">
        <v>5475</v>
      </c>
      <c r="D122" s="19">
        <v>0</v>
      </c>
      <c r="E122" s="19">
        <v>0</v>
      </c>
      <c r="F122" s="20">
        <v>0</v>
      </c>
      <c r="G122" s="21">
        <v>0</v>
      </c>
      <c r="H122" s="20">
        <v>0</v>
      </c>
      <c r="I122" s="20">
        <v>0</v>
      </c>
      <c r="J122" s="32"/>
      <c r="K122" s="32"/>
    </row>
    <row r="123" spans="1:11">
      <c r="A123" s="16">
        <v>800000</v>
      </c>
      <c r="B123" s="17" t="s">
        <v>78</v>
      </c>
      <c r="C123" s="18">
        <v>5470</v>
      </c>
      <c r="D123" s="19">
        <v>0</v>
      </c>
      <c r="E123" s="19">
        <f>+F123</f>
        <v>1200000</v>
      </c>
      <c r="F123" s="20">
        <v>1200000</v>
      </c>
      <c r="G123" s="21">
        <v>1200000</v>
      </c>
      <c r="H123" s="20">
        <v>1450000</v>
      </c>
      <c r="I123" s="20">
        <v>1500000</v>
      </c>
      <c r="J123" s="32"/>
      <c r="K123" s="32"/>
    </row>
    <row r="124" spans="1:11">
      <c r="A124" s="16">
        <v>1680000</v>
      </c>
      <c r="B124" s="17" t="s">
        <v>79</v>
      </c>
      <c r="C124" s="18">
        <v>5130</v>
      </c>
      <c r="D124" s="19">
        <v>331193.03000000003</v>
      </c>
      <c r="E124" s="19">
        <f>+F124</f>
        <v>2183165.2999999998</v>
      </c>
      <c r="F124" s="20">
        <f>218316.53*10</f>
        <v>2183165.2999999998</v>
      </c>
      <c r="G124" s="21">
        <f>+F124*0.1+F124+100001+57537</f>
        <v>2559019.8299999996</v>
      </c>
      <c r="H124" s="20">
        <f t="shared" ref="H124:I124" si="42">+G124*0.1+G124</f>
        <v>2814921.8129999996</v>
      </c>
      <c r="I124" s="20">
        <f t="shared" si="42"/>
        <v>3096413.9942999994</v>
      </c>
      <c r="J124" s="32"/>
      <c r="K124" s="32"/>
    </row>
    <row r="125" spans="1:11">
      <c r="A125" s="16">
        <v>262900</v>
      </c>
      <c r="B125" s="17" t="s">
        <v>80</v>
      </c>
      <c r="C125" s="18">
        <v>5270</v>
      </c>
      <c r="D125" s="19">
        <v>537940</v>
      </c>
      <c r="E125" s="19">
        <f>+F125</f>
        <v>1613824</v>
      </c>
      <c r="F125" s="20">
        <f>1600000+13700+124</f>
        <v>1613824</v>
      </c>
      <c r="G125" s="21">
        <f>1775636+100000</f>
        <v>1875636</v>
      </c>
      <c r="H125" s="20">
        <f t="shared" ref="H125:I125" si="43">+G125*0.1+G125</f>
        <v>2063199.6</v>
      </c>
      <c r="I125" s="20">
        <f t="shared" si="43"/>
        <v>2269519.56</v>
      </c>
      <c r="J125" s="32"/>
      <c r="K125" s="32"/>
    </row>
    <row r="126" spans="1:11">
      <c r="A126" s="16">
        <v>0</v>
      </c>
      <c r="B126" s="17" t="s">
        <v>319</v>
      </c>
      <c r="C126" s="18">
        <v>5055</v>
      </c>
      <c r="D126" s="19">
        <v>0</v>
      </c>
      <c r="E126" s="19">
        <f>+F126</f>
        <v>400000</v>
      </c>
      <c r="F126" s="20">
        <v>400000</v>
      </c>
      <c r="G126" s="21">
        <v>750000</v>
      </c>
      <c r="H126" s="20">
        <v>790000</v>
      </c>
      <c r="I126" s="20">
        <v>800000</v>
      </c>
      <c r="J126" s="32"/>
      <c r="K126" s="32"/>
    </row>
    <row r="127" spans="1:11">
      <c r="A127" s="45">
        <f>SUM(A120:A126)</f>
        <v>3042900</v>
      </c>
      <c r="B127" s="29"/>
      <c r="C127" s="18"/>
      <c r="D127" s="49">
        <f t="shared" ref="D127:I127" si="44">SUM(D120:D126)</f>
        <v>869133.03</v>
      </c>
      <c r="E127" s="45">
        <f t="shared" si="44"/>
        <v>5396989.2999999998</v>
      </c>
      <c r="F127" s="45">
        <f t="shared" si="44"/>
        <v>5396989.2999999998</v>
      </c>
      <c r="G127" s="31">
        <f>SUM(G120:G126)</f>
        <v>6384655.8300000001</v>
      </c>
      <c r="H127" s="45">
        <f>SUM(H120:H126)</f>
        <v>7118121.4129999988</v>
      </c>
      <c r="I127" s="45">
        <f t="shared" si="44"/>
        <v>7665933.554299999</v>
      </c>
      <c r="J127" s="32"/>
      <c r="K127" s="32"/>
    </row>
    <row r="128" spans="1:11">
      <c r="A128" s="37"/>
      <c r="B128" s="17"/>
      <c r="C128" s="18"/>
      <c r="D128" s="19"/>
      <c r="E128" s="19"/>
      <c r="F128" s="30"/>
      <c r="G128" s="31"/>
      <c r="H128" s="30"/>
      <c r="I128" s="30"/>
      <c r="J128" s="32"/>
      <c r="K128" s="32"/>
    </row>
    <row r="129" spans="1:11">
      <c r="A129" s="37"/>
      <c r="B129" s="39" t="s">
        <v>23</v>
      </c>
      <c r="C129" s="18"/>
      <c r="D129" s="19"/>
      <c r="E129" s="19"/>
      <c r="F129" s="30"/>
      <c r="G129" s="31"/>
      <c r="H129" s="30"/>
      <c r="I129" s="30"/>
      <c r="J129" s="32"/>
      <c r="K129" s="32"/>
    </row>
    <row r="130" spans="1:11">
      <c r="A130" s="16">
        <v>1635160</v>
      </c>
      <c r="B130" s="17" t="s">
        <v>81</v>
      </c>
      <c r="C130" s="18">
        <v>6010</v>
      </c>
      <c r="D130" s="19">
        <v>957468.7</v>
      </c>
      <c r="E130" s="19">
        <f>+F130</f>
        <v>3071974.88</v>
      </c>
      <c r="F130" s="34">
        <f>+'[1]STAFF SALARIES SUMMARY'!C8+'[1]STAFF SALARIES SUMMARY'!D8</f>
        <v>3071974.88</v>
      </c>
      <c r="G130" s="21">
        <f>+E130*8.3/100+E130</f>
        <v>3326948.7950399998</v>
      </c>
      <c r="H130" s="34">
        <f>+G130*8.3/100+G130</f>
        <v>3603085.5450283196</v>
      </c>
      <c r="I130" s="34">
        <f>+H130*8.3/100+H130</f>
        <v>3902141.64526567</v>
      </c>
      <c r="J130" s="32"/>
      <c r="K130" s="32"/>
    </row>
    <row r="131" spans="1:11">
      <c r="A131" s="16">
        <v>110000</v>
      </c>
      <c r="B131" s="17" t="s">
        <v>82</v>
      </c>
      <c r="C131" s="18">
        <v>6030</v>
      </c>
      <c r="D131" s="19">
        <v>72015.66</v>
      </c>
      <c r="E131" s="19">
        <f>+F131</f>
        <v>221491.84</v>
      </c>
      <c r="F131" s="34">
        <f>+'[1]STAFF SALARIES SUMMARY'!I8</f>
        <v>221491.84</v>
      </c>
      <c r="G131" s="21">
        <f t="shared" ref="G131:G137" si="45">+E131*8.3/100+E131</f>
        <v>239875.66271999999</v>
      </c>
      <c r="H131" s="34">
        <f t="shared" ref="H131:I131" si="46">+G131*8.3/100+G131</f>
        <v>259785.34272575998</v>
      </c>
      <c r="I131" s="34">
        <f t="shared" si="46"/>
        <v>281347.52617199806</v>
      </c>
      <c r="J131" s="32"/>
      <c r="K131" s="32"/>
    </row>
    <row r="132" spans="1:11">
      <c r="A132" s="16">
        <v>30000</v>
      </c>
      <c r="B132" s="17" t="s">
        <v>83</v>
      </c>
      <c r="C132" s="18">
        <v>6040</v>
      </c>
      <c r="D132" s="19">
        <v>10365.41</v>
      </c>
      <c r="E132" s="19">
        <f>+F132</f>
        <v>77927.12</v>
      </c>
      <c r="F132" s="20">
        <f>+'[1]STAFF SALARIES SUMMARY'!G8</f>
        <v>77927.12</v>
      </c>
      <c r="G132" s="21">
        <f t="shared" si="45"/>
        <v>84395.070959999997</v>
      </c>
      <c r="H132" s="34">
        <f t="shared" ref="H132:I132" si="47">+G132*8.3/100+G132</f>
        <v>91399.86184967999</v>
      </c>
      <c r="I132" s="34">
        <f t="shared" si="47"/>
        <v>98986.05038320343</v>
      </c>
      <c r="J132" s="32"/>
      <c r="K132" s="32"/>
    </row>
    <row r="133" spans="1:11">
      <c r="A133" s="16">
        <v>208050</v>
      </c>
      <c r="B133" s="17" t="s">
        <v>84</v>
      </c>
      <c r="C133" s="18">
        <v>6050</v>
      </c>
      <c r="D133" s="19">
        <v>108702.69</v>
      </c>
      <c r="E133" s="19">
        <f>+F133</f>
        <v>361999.59</v>
      </c>
      <c r="F133" s="34">
        <f>+'[1]STAFF SALARIES SUMMARY'!H8</f>
        <v>361999.59</v>
      </c>
      <c r="G133" s="21">
        <f t="shared" si="45"/>
        <v>392045.55597000004</v>
      </c>
      <c r="H133" s="34">
        <f t="shared" ref="H133:I133" si="48">+G133*8.3/100+G133</f>
        <v>424585.33711551008</v>
      </c>
      <c r="I133" s="34">
        <f t="shared" si="48"/>
        <v>459825.9200960974</v>
      </c>
      <c r="J133" s="32"/>
      <c r="K133" s="32"/>
    </row>
    <row r="134" spans="1:11">
      <c r="A134" s="16">
        <v>249312</v>
      </c>
      <c r="B134" s="17" t="s">
        <v>85</v>
      </c>
      <c r="C134" s="18">
        <v>6070</v>
      </c>
      <c r="D134" s="19">
        <v>156885.01999999999</v>
      </c>
      <c r="E134" s="19">
        <f>+D134*2</f>
        <v>313770.03999999998</v>
      </c>
      <c r="F134" s="20">
        <f>+'[1]STAFF SALARIES SUMMARY'!E8</f>
        <v>304980</v>
      </c>
      <c r="G134" s="21">
        <f t="shared" si="45"/>
        <v>339812.95331999997</v>
      </c>
      <c r="H134" s="34">
        <f t="shared" ref="H134:I134" si="49">+G134*8.3/100+G134</f>
        <v>368017.42844555998</v>
      </c>
      <c r="I134" s="34">
        <f t="shared" si="49"/>
        <v>398562.87500654149</v>
      </c>
      <c r="J134" s="32"/>
      <c r="K134" s="32"/>
    </row>
    <row r="135" spans="1:11">
      <c r="A135" s="16">
        <v>26500</v>
      </c>
      <c r="B135" s="17" t="s">
        <v>59</v>
      </c>
      <c r="C135" s="18">
        <v>6085</v>
      </c>
      <c r="D135" s="19">
        <v>7782.94</v>
      </c>
      <c r="E135" s="19">
        <f>+F135</f>
        <v>33111.839999999997</v>
      </c>
      <c r="F135" s="20">
        <f>+'[1]STAFF SALARIES SUMMARY'!F8</f>
        <v>33111.839999999997</v>
      </c>
      <c r="G135" s="21">
        <f t="shared" si="45"/>
        <v>35860.122719999999</v>
      </c>
      <c r="H135" s="34">
        <f t="shared" ref="H135:I135" si="50">+G135*8.3/100+G135</f>
        <v>38836.512905759999</v>
      </c>
      <c r="I135" s="34">
        <f t="shared" si="50"/>
        <v>42059.943476938082</v>
      </c>
      <c r="J135" s="32"/>
      <c r="K135" s="32"/>
    </row>
    <row r="136" spans="1:11">
      <c r="A136" s="16">
        <v>600</v>
      </c>
      <c r="B136" s="17" t="s">
        <v>86</v>
      </c>
      <c r="C136" s="18">
        <v>6088</v>
      </c>
      <c r="D136" s="19">
        <v>240</v>
      </c>
      <c r="E136" s="19">
        <f>+F136</f>
        <v>1105</v>
      </c>
      <c r="F136" s="20">
        <f>+'[1]STAFF SALARIES SUMMARY'!K8</f>
        <v>1105</v>
      </c>
      <c r="G136" s="21">
        <f t="shared" si="45"/>
        <v>1196.7149999999999</v>
      </c>
      <c r="H136" s="34">
        <f t="shared" ref="H136:I136" si="51">+G136*8.3/100+G136</f>
        <v>1296.0423449999998</v>
      </c>
      <c r="I136" s="34">
        <f t="shared" si="51"/>
        <v>1403.6138596349999</v>
      </c>
      <c r="J136" s="32"/>
      <c r="K136" s="32"/>
    </row>
    <row r="137" spans="1:11">
      <c r="A137" s="16">
        <v>11630</v>
      </c>
      <c r="B137" s="17" t="s">
        <v>0</v>
      </c>
      <c r="C137" s="18">
        <v>6087</v>
      </c>
      <c r="D137" s="19">
        <v>7749.03</v>
      </c>
      <c r="E137" s="19">
        <f>+F137</f>
        <v>23883.48</v>
      </c>
      <c r="F137" s="20">
        <f>+'[1]STAFF SALARIES SUMMARY'!J8</f>
        <v>23883.48</v>
      </c>
      <c r="G137" s="21">
        <f t="shared" si="45"/>
        <v>25865.808839999998</v>
      </c>
      <c r="H137" s="34">
        <f t="shared" ref="H137:I137" si="52">+G137*8.3/100+G137</f>
        <v>28012.67097372</v>
      </c>
      <c r="I137" s="34">
        <f t="shared" si="52"/>
        <v>30337.72266453876</v>
      </c>
      <c r="J137" s="32"/>
      <c r="K137" s="32"/>
    </row>
    <row r="138" spans="1:11">
      <c r="A138" s="45">
        <f>SUM(A130:A137)</f>
        <v>2271252</v>
      </c>
      <c r="B138" s="17"/>
      <c r="C138" s="18"/>
      <c r="D138" s="49">
        <f t="shared" ref="D138:I138" si="53">SUM(D130:D137)</f>
        <v>1321209.45</v>
      </c>
      <c r="E138" s="45">
        <f t="shared" si="53"/>
        <v>4105263.7899999996</v>
      </c>
      <c r="F138" s="45">
        <f t="shared" si="53"/>
        <v>4096473.7499999995</v>
      </c>
      <c r="G138" s="31">
        <f>SUM(G130:G137)</f>
        <v>4446000.6845700005</v>
      </c>
      <c r="H138" s="45">
        <f t="shared" si="53"/>
        <v>4815018.74138931</v>
      </c>
      <c r="I138" s="45">
        <f t="shared" si="53"/>
        <v>5214665.2969246218</v>
      </c>
      <c r="J138" s="32"/>
      <c r="K138" s="32"/>
    </row>
    <row r="139" spans="1:11">
      <c r="A139" s="38"/>
      <c r="B139" s="39" t="s">
        <v>30</v>
      </c>
      <c r="C139" s="29"/>
      <c r="D139" s="40"/>
      <c r="E139" s="40"/>
      <c r="F139" s="30"/>
      <c r="G139" s="31"/>
      <c r="H139" s="30"/>
      <c r="I139" s="30"/>
      <c r="J139" s="32"/>
      <c r="K139" s="32"/>
    </row>
    <row r="140" spans="1:11">
      <c r="A140" s="16">
        <v>80000</v>
      </c>
      <c r="B140" s="17" t="s">
        <v>87</v>
      </c>
      <c r="C140" s="18">
        <v>6140</v>
      </c>
      <c r="D140" s="19">
        <v>26154.28</v>
      </c>
      <c r="E140" s="19">
        <f>+F140</f>
        <v>84000</v>
      </c>
      <c r="F140" s="34">
        <f>+A140*0.05+80000</f>
        <v>84000</v>
      </c>
      <c r="G140" s="21">
        <f t="shared" ref="G140:G148" si="54">+E140*8.3/100+E140</f>
        <v>90972</v>
      </c>
      <c r="H140" s="34">
        <f t="shared" ref="H140:I148" si="55">+G140*8.3/100+G140</f>
        <v>98522.676000000007</v>
      </c>
      <c r="I140" s="34">
        <f t="shared" si="55"/>
        <v>106700.05810800001</v>
      </c>
      <c r="J140" s="32"/>
      <c r="K140" s="32"/>
    </row>
    <row r="141" spans="1:11">
      <c r="A141" s="16">
        <f>+F141</f>
        <v>100000</v>
      </c>
      <c r="B141" s="17" t="s">
        <v>88</v>
      </c>
      <c r="C141" s="18">
        <v>6130</v>
      </c>
      <c r="D141" s="19">
        <v>0</v>
      </c>
      <c r="E141" s="19">
        <v>0</v>
      </c>
      <c r="F141" s="34">
        <v>100000</v>
      </c>
      <c r="G141" s="21">
        <f t="shared" si="54"/>
        <v>0</v>
      </c>
      <c r="H141" s="34">
        <f t="shared" si="55"/>
        <v>0</v>
      </c>
      <c r="I141" s="34">
        <f t="shared" si="55"/>
        <v>0</v>
      </c>
      <c r="J141" s="32"/>
      <c r="K141" s="32"/>
    </row>
    <row r="142" spans="1:11">
      <c r="A142" s="16">
        <v>340200</v>
      </c>
      <c r="B142" s="17" t="s">
        <v>328</v>
      </c>
      <c r="C142" s="18">
        <v>6260</v>
      </c>
      <c r="D142" s="19">
        <v>703749.18</v>
      </c>
      <c r="E142" s="19">
        <v>1000000</v>
      </c>
      <c r="F142" s="34">
        <f>340200+300000</f>
        <v>640200</v>
      </c>
      <c r="G142" s="21">
        <f t="shared" si="54"/>
        <v>1083000</v>
      </c>
      <c r="H142" s="34">
        <f t="shared" si="55"/>
        <v>1172889</v>
      </c>
      <c r="I142" s="34">
        <f t="shared" si="55"/>
        <v>1270238.787</v>
      </c>
      <c r="J142" s="32"/>
      <c r="K142" s="32"/>
    </row>
    <row r="143" spans="1:11">
      <c r="A143" s="16">
        <f>+F143</f>
        <v>300000</v>
      </c>
      <c r="B143" s="17" t="s">
        <v>76</v>
      </c>
      <c r="C143" s="18">
        <v>6290</v>
      </c>
      <c r="D143" s="19">
        <v>2364.4499999999998</v>
      </c>
      <c r="E143" s="19">
        <f>+F143/2</f>
        <v>150000</v>
      </c>
      <c r="F143" s="34">
        <v>300000</v>
      </c>
      <c r="G143" s="21">
        <v>0</v>
      </c>
      <c r="H143" s="34">
        <f t="shared" si="55"/>
        <v>0</v>
      </c>
      <c r="I143" s="34">
        <f t="shared" si="55"/>
        <v>0</v>
      </c>
      <c r="J143" s="32"/>
      <c r="K143" s="32"/>
    </row>
    <row r="144" spans="1:11">
      <c r="A144" s="16">
        <v>36800</v>
      </c>
      <c r="B144" s="17" t="s">
        <v>89</v>
      </c>
      <c r="C144" s="18">
        <v>6460</v>
      </c>
      <c r="D144" s="19">
        <v>342.95</v>
      </c>
      <c r="E144" s="19">
        <f>+D144</f>
        <v>342.95</v>
      </c>
      <c r="F144" s="34">
        <v>0</v>
      </c>
      <c r="G144" s="21">
        <v>0</v>
      </c>
      <c r="H144" s="34">
        <f t="shared" si="55"/>
        <v>0</v>
      </c>
      <c r="I144" s="34">
        <f t="shared" si="55"/>
        <v>0</v>
      </c>
      <c r="J144" s="32"/>
      <c r="K144" s="32"/>
    </row>
    <row r="145" spans="1:11">
      <c r="A145" s="41">
        <v>27960</v>
      </c>
      <c r="B145" s="17" t="s">
        <v>90</v>
      </c>
      <c r="C145" s="42">
        <v>6540</v>
      </c>
      <c r="D145" s="43">
        <v>15484.65</v>
      </c>
      <c r="E145" s="43">
        <f>+F145-466</f>
        <v>28892</v>
      </c>
      <c r="F145" s="20">
        <f>+A145*0.05+A145</f>
        <v>29358</v>
      </c>
      <c r="G145" s="21">
        <f t="shared" si="54"/>
        <v>31290.036</v>
      </c>
      <c r="H145" s="34">
        <f t="shared" si="55"/>
        <v>33887.108988</v>
      </c>
      <c r="I145" s="34">
        <f t="shared" si="55"/>
        <v>36699.739034004</v>
      </c>
      <c r="J145" s="32"/>
      <c r="K145" s="32"/>
    </row>
    <row r="146" spans="1:11">
      <c r="A146" s="41">
        <f>+F146</f>
        <v>26170</v>
      </c>
      <c r="B146" s="17" t="s">
        <v>33</v>
      </c>
      <c r="C146" s="42">
        <v>6570</v>
      </c>
      <c r="D146" s="43"/>
      <c r="E146" s="43">
        <f>+F146/2</f>
        <v>13085</v>
      </c>
      <c r="F146" s="20">
        <v>26170</v>
      </c>
      <c r="G146" s="21">
        <f t="shared" si="54"/>
        <v>14171.055</v>
      </c>
      <c r="H146" s="34">
        <f t="shared" si="55"/>
        <v>15347.252565000001</v>
      </c>
      <c r="I146" s="34">
        <f t="shared" si="55"/>
        <v>16621.074527895002</v>
      </c>
      <c r="J146" s="32"/>
      <c r="K146" s="32"/>
    </row>
    <row r="147" spans="1:11">
      <c r="A147" s="41">
        <v>412.68</v>
      </c>
      <c r="B147" s="17" t="s">
        <v>316</v>
      </c>
      <c r="C147" s="42">
        <v>7190</v>
      </c>
      <c r="D147" s="43">
        <v>1252</v>
      </c>
      <c r="E147" s="43">
        <f>+D147*2</f>
        <v>2504</v>
      </c>
      <c r="F147" s="20">
        <v>1000</v>
      </c>
      <c r="G147" s="21">
        <f t="shared" si="54"/>
        <v>2711.8319999999999</v>
      </c>
      <c r="H147" s="34">
        <f t="shared" si="55"/>
        <v>2936.9140560000001</v>
      </c>
      <c r="I147" s="34">
        <f t="shared" si="55"/>
        <v>3180.6779226480003</v>
      </c>
      <c r="J147" s="32"/>
      <c r="K147" s="32"/>
    </row>
    <row r="148" spans="1:11">
      <c r="A148" s="41">
        <v>324000</v>
      </c>
      <c r="B148" s="17" t="s">
        <v>91</v>
      </c>
      <c r="C148" s="42">
        <v>6590</v>
      </c>
      <c r="D148" s="43">
        <v>80237</v>
      </c>
      <c r="E148" s="43">
        <f>+F148</f>
        <v>356400</v>
      </c>
      <c r="F148" s="20">
        <f>+A148*0.1+A148</f>
        <v>356400</v>
      </c>
      <c r="G148" s="21">
        <f t="shared" si="54"/>
        <v>385981.2</v>
      </c>
      <c r="H148" s="34">
        <f t="shared" si="55"/>
        <v>418017.63959999999</v>
      </c>
      <c r="I148" s="34">
        <f t="shared" si="55"/>
        <v>452713.10368679999</v>
      </c>
      <c r="J148" s="32"/>
      <c r="K148" s="32"/>
    </row>
    <row r="149" spans="1:11">
      <c r="A149" s="16">
        <v>40000</v>
      </c>
      <c r="B149" s="17" t="s">
        <v>92</v>
      </c>
      <c r="C149" s="18">
        <v>6650</v>
      </c>
      <c r="D149" s="19">
        <v>13353.83</v>
      </c>
      <c r="E149" s="19">
        <f>+F149</f>
        <v>40000</v>
      </c>
      <c r="F149" s="20">
        <v>40000</v>
      </c>
      <c r="G149" s="21">
        <f t="shared" ref="G149:G167" si="56">+E149*8.3/100+E149</f>
        <v>43320</v>
      </c>
      <c r="H149" s="34">
        <f t="shared" ref="H149:I149" si="57">+G149*8.3/100+G149</f>
        <v>46915.56</v>
      </c>
      <c r="I149" s="34">
        <f t="shared" si="57"/>
        <v>50809.551479999995</v>
      </c>
      <c r="J149" s="32"/>
      <c r="K149" s="32"/>
    </row>
    <row r="150" spans="1:11">
      <c r="A150" s="16"/>
      <c r="B150" s="17" t="s">
        <v>563</v>
      </c>
      <c r="C150" s="18">
        <v>6430</v>
      </c>
      <c r="D150" s="19">
        <v>9635.94</v>
      </c>
      <c r="E150" s="19">
        <f>+D150*2</f>
        <v>19271.88</v>
      </c>
      <c r="F150" s="20"/>
      <c r="G150" s="21">
        <f t="shared" si="56"/>
        <v>20871.446040000003</v>
      </c>
      <c r="H150" s="34">
        <f t="shared" ref="H150:I150" si="58">+G150*8.3/100+G150</f>
        <v>22603.776061320004</v>
      </c>
      <c r="I150" s="34">
        <f t="shared" si="58"/>
        <v>24479.889474409567</v>
      </c>
      <c r="J150" s="32"/>
      <c r="K150" s="32"/>
    </row>
    <row r="151" spans="1:11">
      <c r="A151" s="16">
        <v>67574.240000000005</v>
      </c>
      <c r="B151" s="17" t="s">
        <v>62</v>
      </c>
      <c r="C151" s="18">
        <v>6690</v>
      </c>
      <c r="D151" s="19">
        <v>51913.62</v>
      </c>
      <c r="E151" s="19">
        <f>+D151*2</f>
        <v>103827.24</v>
      </c>
      <c r="F151" s="20">
        <v>50000</v>
      </c>
      <c r="G151" s="21">
        <f t="shared" si="56"/>
        <v>112444.90092</v>
      </c>
      <c r="H151" s="34">
        <f t="shared" ref="H151:I151" si="59">+G151*8.3/100+G151</f>
        <v>121777.82769636001</v>
      </c>
      <c r="I151" s="34">
        <f t="shared" si="59"/>
        <v>131885.38739515789</v>
      </c>
      <c r="J151" s="32"/>
      <c r="K151" s="32"/>
    </row>
    <row r="152" spans="1:11">
      <c r="A152" s="16">
        <v>17000</v>
      </c>
      <c r="B152" s="17" t="s">
        <v>93</v>
      </c>
      <c r="C152" s="18">
        <v>6780</v>
      </c>
      <c r="D152" s="19">
        <v>19539.48</v>
      </c>
      <c r="E152" s="19">
        <f>+D152*2</f>
        <v>39078.959999999999</v>
      </c>
      <c r="F152" s="20">
        <v>17000</v>
      </c>
      <c r="G152" s="21">
        <f t="shared" si="56"/>
        <v>42322.513679999996</v>
      </c>
      <c r="H152" s="34">
        <f t="shared" ref="H152:I152" si="60">+G152*8.3/100+G152</f>
        <v>45835.282315439996</v>
      </c>
      <c r="I152" s="34">
        <f t="shared" si="60"/>
        <v>49639.610747621518</v>
      </c>
      <c r="J152" s="32"/>
      <c r="K152" s="32"/>
    </row>
    <row r="153" spans="1:11">
      <c r="A153" s="16">
        <f>+F153</f>
        <v>54500</v>
      </c>
      <c r="B153" s="17" t="s">
        <v>94</v>
      </c>
      <c r="C153" s="18">
        <v>6790</v>
      </c>
      <c r="D153" s="19">
        <v>26889.66</v>
      </c>
      <c r="E153" s="19">
        <f>+F153</f>
        <v>54500</v>
      </c>
      <c r="F153" s="20">
        <v>54500</v>
      </c>
      <c r="G153" s="21">
        <v>0</v>
      </c>
      <c r="H153" s="34">
        <f t="shared" ref="H153:I153" si="61">+G153*8.3/100+G153</f>
        <v>0</v>
      </c>
      <c r="I153" s="34">
        <f t="shared" si="61"/>
        <v>0</v>
      </c>
      <c r="J153" s="32"/>
      <c r="K153" s="32"/>
    </row>
    <row r="154" spans="1:11">
      <c r="A154" s="16">
        <f>+F154</f>
        <v>69000</v>
      </c>
      <c r="B154" s="17" t="s">
        <v>95</v>
      </c>
      <c r="C154" s="18">
        <v>6810</v>
      </c>
      <c r="D154" s="49">
        <v>0</v>
      </c>
      <c r="E154" s="49">
        <v>0</v>
      </c>
      <c r="F154" s="20">
        <v>69000</v>
      </c>
      <c r="G154" s="21">
        <f t="shared" si="56"/>
        <v>0</v>
      </c>
      <c r="H154" s="34">
        <f t="shared" ref="H154:I154" si="62">+G154*8.3/100+G154</f>
        <v>0</v>
      </c>
      <c r="I154" s="34">
        <f t="shared" si="62"/>
        <v>0</v>
      </c>
      <c r="J154" s="32"/>
      <c r="K154" s="32"/>
    </row>
    <row r="155" spans="1:11">
      <c r="A155" s="16">
        <f>+F155</f>
        <v>2500</v>
      </c>
      <c r="B155" s="17" t="s">
        <v>96</v>
      </c>
      <c r="C155" s="18">
        <v>6850</v>
      </c>
      <c r="D155" s="19">
        <v>0</v>
      </c>
      <c r="E155" s="19">
        <v>0</v>
      </c>
      <c r="F155" s="20">
        <v>2500</v>
      </c>
      <c r="G155" s="21">
        <f t="shared" si="56"/>
        <v>0</v>
      </c>
      <c r="H155" s="34">
        <f t="shared" ref="H155:I155" si="63">+G155*8.3/100+G155</f>
        <v>0</v>
      </c>
      <c r="I155" s="34">
        <f t="shared" si="63"/>
        <v>0</v>
      </c>
      <c r="J155" s="32"/>
      <c r="K155" s="32"/>
    </row>
    <row r="156" spans="1:11">
      <c r="A156" s="16">
        <v>48000</v>
      </c>
      <c r="B156" s="17" t="s">
        <v>97</v>
      </c>
      <c r="C156" s="18">
        <v>6900</v>
      </c>
      <c r="D156" s="19">
        <v>24890.38</v>
      </c>
      <c r="E156" s="19">
        <f>+D156*2</f>
        <v>49780.76</v>
      </c>
      <c r="F156" s="20">
        <f>48000*0.05+48000</f>
        <v>50400</v>
      </c>
      <c r="G156" s="21">
        <f t="shared" si="56"/>
        <v>53912.56308</v>
      </c>
      <c r="H156" s="34">
        <f t="shared" ref="H156:I156" si="64">+G156*8.3/100+G156</f>
        <v>58387.30581564</v>
      </c>
      <c r="I156" s="34">
        <f t="shared" si="64"/>
        <v>63233.45219833812</v>
      </c>
      <c r="J156" s="32"/>
      <c r="K156" s="32"/>
    </row>
    <row r="157" spans="1:11">
      <c r="A157" s="16">
        <v>102000</v>
      </c>
      <c r="B157" s="17" t="s">
        <v>98</v>
      </c>
      <c r="C157" s="18">
        <v>6860</v>
      </c>
      <c r="D157" s="19">
        <v>58550</v>
      </c>
      <c r="E157" s="19">
        <f>+F157</f>
        <v>156000</v>
      </c>
      <c r="F157" s="20">
        <f>13000*12</f>
        <v>156000</v>
      </c>
      <c r="G157" s="21">
        <v>150000</v>
      </c>
      <c r="H157" s="34">
        <f t="shared" ref="H157:I157" si="65">+G157*8.3/100+G157</f>
        <v>162450</v>
      </c>
      <c r="I157" s="34">
        <f t="shared" si="65"/>
        <v>175933.35</v>
      </c>
      <c r="J157" s="32"/>
      <c r="K157" s="32"/>
    </row>
    <row r="158" spans="1:11">
      <c r="A158" s="16">
        <v>3586.32</v>
      </c>
      <c r="B158" s="17" t="s">
        <v>99</v>
      </c>
      <c r="C158" s="18">
        <v>6970</v>
      </c>
      <c r="D158" s="19">
        <v>0</v>
      </c>
      <c r="E158" s="19">
        <v>0</v>
      </c>
      <c r="F158" s="20">
        <v>0</v>
      </c>
      <c r="G158" s="21">
        <f t="shared" si="56"/>
        <v>0</v>
      </c>
      <c r="H158" s="34">
        <f t="shared" ref="H158:I158" si="66">+G158*8.3/100+G158</f>
        <v>0</v>
      </c>
      <c r="I158" s="34">
        <f t="shared" si="66"/>
        <v>0</v>
      </c>
      <c r="J158" s="32"/>
      <c r="K158" s="32"/>
    </row>
    <row r="159" spans="1:11">
      <c r="A159" s="16">
        <v>0</v>
      </c>
      <c r="B159" s="17" t="s">
        <v>329</v>
      </c>
      <c r="C159" s="18">
        <v>6190</v>
      </c>
      <c r="D159" s="19">
        <v>-1637.62</v>
      </c>
      <c r="E159" s="19">
        <f>+F159</f>
        <v>20000</v>
      </c>
      <c r="F159" s="20">
        <v>20000</v>
      </c>
      <c r="G159" s="21">
        <v>15000</v>
      </c>
      <c r="H159" s="34">
        <f t="shared" ref="H159:I159" si="67">+G159*8.3/100+G159</f>
        <v>16245</v>
      </c>
      <c r="I159" s="34">
        <f t="shared" si="67"/>
        <v>17593.334999999999</v>
      </c>
      <c r="J159" s="32"/>
      <c r="K159" s="32"/>
    </row>
    <row r="160" spans="1:11">
      <c r="A160" s="16">
        <v>27000</v>
      </c>
      <c r="B160" s="17" t="s">
        <v>39</v>
      </c>
      <c r="C160" s="18">
        <v>6990</v>
      </c>
      <c r="D160" s="19">
        <v>14944.99</v>
      </c>
      <c r="E160" s="19">
        <f>+F160</f>
        <v>27000</v>
      </c>
      <c r="F160" s="20">
        <v>27000</v>
      </c>
      <c r="G160" s="21">
        <v>0</v>
      </c>
      <c r="H160" s="34">
        <f t="shared" ref="H160:I160" si="68">+G160*8.3/100+G160</f>
        <v>0</v>
      </c>
      <c r="I160" s="34">
        <f t="shared" si="68"/>
        <v>0</v>
      </c>
      <c r="J160" s="32"/>
      <c r="K160" s="32"/>
    </row>
    <row r="161" spans="1:11">
      <c r="A161" s="16">
        <v>60000</v>
      </c>
      <c r="B161" s="17" t="s">
        <v>63</v>
      </c>
      <c r="C161" s="18">
        <v>7020</v>
      </c>
      <c r="D161" s="19">
        <v>30542.3</v>
      </c>
      <c r="E161" s="19">
        <f>+D161*2</f>
        <v>61084.6</v>
      </c>
      <c r="F161" s="20">
        <v>45000</v>
      </c>
      <c r="G161" s="21">
        <f t="shared" si="56"/>
        <v>66154.621799999994</v>
      </c>
      <c r="H161" s="34">
        <f t="shared" ref="H161:I161" si="69">+G161*8.3/100+G161</f>
        <v>71645.45540939999</v>
      </c>
      <c r="I161" s="34">
        <f t="shared" si="69"/>
        <v>77592.028208380187</v>
      </c>
      <c r="J161" s="32"/>
      <c r="K161" s="32"/>
    </row>
    <row r="162" spans="1:11">
      <c r="A162" s="16">
        <v>30000</v>
      </c>
      <c r="B162" s="17" t="s">
        <v>100</v>
      </c>
      <c r="C162" s="18">
        <v>7021</v>
      </c>
      <c r="D162" s="19">
        <v>17387.12</v>
      </c>
      <c r="E162" s="19">
        <f>+F162</f>
        <v>33000</v>
      </c>
      <c r="F162" s="20">
        <f>30000*0.1+30000</f>
        <v>33000</v>
      </c>
      <c r="G162" s="21">
        <f t="shared" si="56"/>
        <v>35739</v>
      </c>
      <c r="H162" s="34">
        <f t="shared" ref="H162:I162" si="70">+G162*8.3/100+G162</f>
        <v>38705.337</v>
      </c>
      <c r="I162" s="34">
        <f t="shared" si="70"/>
        <v>41917.879971000002</v>
      </c>
      <c r="J162" s="32"/>
      <c r="K162" s="32"/>
    </row>
    <row r="163" spans="1:11">
      <c r="A163" s="16">
        <v>30602.52</v>
      </c>
      <c r="B163" s="17" t="s">
        <v>40</v>
      </c>
      <c r="C163" s="18">
        <v>7070</v>
      </c>
      <c r="D163" s="19">
        <v>34804.18</v>
      </c>
      <c r="E163" s="19">
        <f>+D163*2</f>
        <v>69608.36</v>
      </c>
      <c r="F163" s="20">
        <f>+A163*0.1+A163</f>
        <v>33662.771999999997</v>
      </c>
      <c r="G163" s="21">
        <f t="shared" si="56"/>
        <v>75385.853879999995</v>
      </c>
      <c r="H163" s="34">
        <f t="shared" ref="H163:I163" si="71">+G163*8.3/100+G163</f>
        <v>81642.879752039997</v>
      </c>
      <c r="I163" s="34">
        <f t="shared" si="71"/>
        <v>88419.238771459321</v>
      </c>
      <c r="J163" s="32"/>
      <c r="K163" s="32"/>
    </row>
    <row r="164" spans="1:11">
      <c r="A164" s="16">
        <f>+F164</f>
        <v>67700</v>
      </c>
      <c r="B164" s="17" t="s">
        <v>65</v>
      </c>
      <c r="C164" s="18">
        <v>7081</v>
      </c>
      <c r="D164" s="19">
        <v>26406</v>
      </c>
      <c r="E164" s="19">
        <f>+F164</f>
        <v>67700</v>
      </c>
      <c r="F164" s="20">
        <v>67700</v>
      </c>
      <c r="G164" s="21">
        <v>60000</v>
      </c>
      <c r="H164" s="34">
        <f t="shared" ref="H164:I164" si="72">+G164*8.3/100+G164</f>
        <v>64980</v>
      </c>
      <c r="I164" s="34">
        <f t="shared" si="72"/>
        <v>70373.34</v>
      </c>
      <c r="J164" s="32"/>
      <c r="K164" s="32"/>
    </row>
    <row r="165" spans="1:11">
      <c r="A165" s="37">
        <v>530000</v>
      </c>
      <c r="B165" s="44" t="s">
        <v>101</v>
      </c>
      <c r="C165" s="18">
        <v>7082</v>
      </c>
      <c r="D165" s="19">
        <v>660001.82999999996</v>
      </c>
      <c r="E165" s="19">
        <f>+D165</f>
        <v>660001.82999999996</v>
      </c>
      <c r="F165" s="45">
        <f>+A165*0.1+A165</f>
        <v>583000</v>
      </c>
      <c r="G165" s="31">
        <f t="shared" si="56"/>
        <v>714781.98188999994</v>
      </c>
      <c r="H165" s="30">
        <f t="shared" ref="H165:I165" si="73">+G165*8.3/100+G165</f>
        <v>774108.88638686994</v>
      </c>
      <c r="I165" s="30">
        <f t="shared" si="73"/>
        <v>838359.92395698011</v>
      </c>
      <c r="J165" s="32"/>
      <c r="K165" s="32"/>
    </row>
    <row r="166" spans="1:11">
      <c r="A166" s="16">
        <v>0</v>
      </c>
      <c r="B166" s="17" t="s">
        <v>276</v>
      </c>
      <c r="C166" s="18">
        <v>6528</v>
      </c>
      <c r="D166" s="19">
        <v>15291.68</v>
      </c>
      <c r="E166" s="19">
        <f>+F166</f>
        <v>30000</v>
      </c>
      <c r="F166" s="20">
        <v>30000</v>
      </c>
      <c r="G166" s="21">
        <f t="shared" si="56"/>
        <v>32490</v>
      </c>
      <c r="H166" s="34">
        <f t="shared" ref="H166:I166" si="74">+G166*8.3/100+G166</f>
        <v>35186.67</v>
      </c>
      <c r="I166" s="34">
        <f t="shared" si="74"/>
        <v>38107.163609999996</v>
      </c>
      <c r="J166" s="32"/>
      <c r="K166" s="32"/>
    </row>
    <row r="167" spans="1:11">
      <c r="A167" s="16">
        <v>8100</v>
      </c>
      <c r="B167" s="17" t="s">
        <v>102</v>
      </c>
      <c r="C167" s="18">
        <v>7155</v>
      </c>
      <c r="D167" s="19"/>
      <c r="E167" s="19"/>
      <c r="F167" s="20">
        <v>0</v>
      </c>
      <c r="G167" s="21">
        <f t="shared" si="56"/>
        <v>0</v>
      </c>
      <c r="H167" s="34">
        <f t="shared" ref="H167:I167" si="75">+G167*8.3/100+G167</f>
        <v>0</v>
      </c>
      <c r="I167" s="34">
        <f t="shared" si="75"/>
        <v>0</v>
      </c>
      <c r="J167" s="32"/>
      <c r="K167" s="32"/>
    </row>
    <row r="168" spans="1:11">
      <c r="A168" s="16">
        <v>40000</v>
      </c>
      <c r="B168" s="17" t="s">
        <v>66</v>
      </c>
      <c r="C168" s="18">
        <v>7191</v>
      </c>
      <c r="D168" s="19">
        <v>81684.5</v>
      </c>
      <c r="E168" s="19">
        <f>+D168*2</f>
        <v>163369</v>
      </c>
      <c r="F168" s="34">
        <f>46000*2</f>
        <v>92000</v>
      </c>
      <c r="G168" s="21">
        <v>170000</v>
      </c>
      <c r="H168" s="34">
        <f t="shared" ref="H168:I168" si="76">+G168*8.3/100+G168</f>
        <v>184110</v>
      </c>
      <c r="I168" s="34">
        <f t="shared" si="76"/>
        <v>199391.13</v>
      </c>
      <c r="J168" s="32"/>
      <c r="K168" s="32"/>
    </row>
    <row r="169" spans="1:11">
      <c r="A169" s="45">
        <f>SUM(A140:A168)</f>
        <v>2433105.7600000002</v>
      </c>
      <c r="B169" s="17"/>
      <c r="C169" s="18"/>
      <c r="D169" s="49">
        <f t="shared" ref="D169:I169" si="77">SUM(D140:D168)</f>
        <v>1913782.3999999997</v>
      </c>
      <c r="E169" s="45">
        <f t="shared" si="77"/>
        <v>3229446.58</v>
      </c>
      <c r="F169" s="45">
        <f t="shared" si="77"/>
        <v>2907890.7719999999</v>
      </c>
      <c r="G169" s="31">
        <f>SUM(G140:G168)</f>
        <v>3200549.0042899996</v>
      </c>
      <c r="H169" s="45">
        <f t="shared" si="77"/>
        <v>3466194.5716460696</v>
      </c>
      <c r="I169" s="45">
        <f t="shared" si="77"/>
        <v>3753888.7210926935</v>
      </c>
      <c r="J169" s="32"/>
      <c r="K169" s="32"/>
    </row>
    <row r="170" spans="1:11">
      <c r="A170" s="38"/>
      <c r="B170" s="39" t="s">
        <v>69</v>
      </c>
      <c r="C170" s="29"/>
      <c r="D170" s="40"/>
      <c r="E170" s="40"/>
      <c r="F170" s="30"/>
      <c r="G170" s="31"/>
      <c r="H170" s="30"/>
      <c r="I170" s="30"/>
      <c r="J170" s="32"/>
      <c r="K170" s="32"/>
    </row>
    <row r="171" spans="1:11">
      <c r="A171" s="16">
        <v>0</v>
      </c>
      <c r="B171" s="17" t="s">
        <v>103</v>
      </c>
      <c r="C171" s="18">
        <v>7210</v>
      </c>
      <c r="D171" s="19">
        <v>0</v>
      </c>
      <c r="E171" s="19">
        <v>20000</v>
      </c>
      <c r="F171" s="34">
        <v>0</v>
      </c>
      <c r="G171" s="21">
        <v>0</v>
      </c>
      <c r="H171" s="34">
        <f t="shared" ref="H171:I173" si="78">+G171*8.3/100+G171</f>
        <v>0</v>
      </c>
      <c r="I171" s="34">
        <f t="shared" si="78"/>
        <v>0</v>
      </c>
      <c r="J171" s="32"/>
      <c r="K171" s="32"/>
    </row>
    <row r="172" spans="1:11">
      <c r="A172" s="16">
        <v>16000</v>
      </c>
      <c r="B172" s="17" t="s">
        <v>70</v>
      </c>
      <c r="C172" s="18">
        <v>7260</v>
      </c>
      <c r="D172" s="19">
        <v>0</v>
      </c>
      <c r="E172" s="19">
        <f>+F172</f>
        <v>17600</v>
      </c>
      <c r="F172" s="20">
        <f>+A172*0.1+16000</f>
        <v>17600</v>
      </c>
      <c r="G172" s="21">
        <v>10000</v>
      </c>
      <c r="H172" s="34">
        <f t="shared" si="78"/>
        <v>10830</v>
      </c>
      <c r="I172" s="34">
        <f t="shared" si="78"/>
        <v>11728.89</v>
      </c>
      <c r="J172" s="32"/>
      <c r="K172" s="32"/>
    </row>
    <row r="173" spans="1:11">
      <c r="A173" s="16">
        <v>40000</v>
      </c>
      <c r="B173" s="17" t="s">
        <v>42</v>
      </c>
      <c r="C173" s="18">
        <v>7350</v>
      </c>
      <c r="D173" s="19">
        <v>17279.64</v>
      </c>
      <c r="E173" s="19">
        <f>+D173*2</f>
        <v>34559.279999999999</v>
      </c>
      <c r="F173" s="20">
        <v>15000</v>
      </c>
      <c r="G173" s="21">
        <f t="shared" ref="G173" si="79">+E173*8.3/100+E173</f>
        <v>37427.700239999998</v>
      </c>
      <c r="H173" s="34">
        <f t="shared" si="78"/>
        <v>40534.19935992</v>
      </c>
      <c r="I173" s="34">
        <f t="shared" si="78"/>
        <v>43898.537906793361</v>
      </c>
      <c r="J173" s="32"/>
      <c r="K173" s="32"/>
    </row>
    <row r="174" spans="1:11">
      <c r="A174" s="45">
        <f>SUM(A171:A173)</f>
        <v>56000</v>
      </c>
      <c r="B174" s="17"/>
      <c r="C174" s="18"/>
      <c r="D174" s="49">
        <f t="shared" ref="D174:I174" si="80">SUM(D171:D173)</f>
        <v>17279.64</v>
      </c>
      <c r="E174" s="45">
        <f t="shared" si="80"/>
        <v>72159.28</v>
      </c>
      <c r="F174" s="45">
        <f t="shared" si="80"/>
        <v>32600</v>
      </c>
      <c r="G174" s="31">
        <f t="shared" si="80"/>
        <v>47427.700239999998</v>
      </c>
      <c r="H174" s="45">
        <f t="shared" si="80"/>
        <v>51364.19935992</v>
      </c>
      <c r="I174" s="45">
        <f t="shared" si="80"/>
        <v>55627.42790679336</v>
      </c>
      <c r="J174" s="32"/>
      <c r="K174" s="32"/>
    </row>
    <row r="175" spans="1:11">
      <c r="A175" s="16"/>
      <c r="B175" s="17"/>
      <c r="C175" s="18"/>
      <c r="D175" s="19"/>
      <c r="E175" s="19"/>
      <c r="F175" s="20"/>
      <c r="G175" s="21"/>
      <c r="H175" s="20"/>
      <c r="I175" s="20"/>
      <c r="J175" s="32"/>
      <c r="K175" s="32"/>
    </row>
    <row r="176" spans="1:11">
      <c r="A176" s="37">
        <f>+F176</f>
        <v>11381</v>
      </c>
      <c r="B176" s="17" t="s">
        <v>68</v>
      </c>
      <c r="C176" s="18">
        <v>7800</v>
      </c>
      <c r="D176" s="19">
        <v>16547.07</v>
      </c>
      <c r="E176" s="19">
        <v>40000</v>
      </c>
      <c r="F176" s="45">
        <v>11381</v>
      </c>
      <c r="G176" s="21">
        <f>F176*10%+50000</f>
        <v>51138.1</v>
      </c>
      <c r="H176" s="34">
        <f>G176*6.3%+50000</f>
        <v>53221.700299999997</v>
      </c>
      <c r="I176" s="34">
        <f>H176*6.3%+50000</f>
        <v>53352.9671189</v>
      </c>
      <c r="J176" s="32"/>
      <c r="K176" s="32"/>
    </row>
    <row r="177" spans="1:11">
      <c r="A177" s="16"/>
      <c r="B177" s="17"/>
      <c r="C177" s="18"/>
      <c r="D177" s="19"/>
      <c r="E177" s="19"/>
      <c r="F177" s="20"/>
      <c r="G177" s="21"/>
      <c r="H177" s="20"/>
      <c r="I177" s="20"/>
      <c r="J177" s="32"/>
      <c r="K177" s="32"/>
    </row>
    <row r="178" spans="1:11">
      <c r="A178" s="45">
        <f>+A176+A174+A169+A138</f>
        <v>4771738.76</v>
      </c>
      <c r="B178" s="39" t="s">
        <v>46</v>
      </c>
      <c r="C178" s="18"/>
      <c r="D178" s="45">
        <f t="shared" ref="D178:I178" si="81">+D176+D174+D169+D138</f>
        <v>3268818.5599999996</v>
      </c>
      <c r="E178" s="45">
        <f t="shared" si="81"/>
        <v>7446869.6499999994</v>
      </c>
      <c r="F178" s="45">
        <f t="shared" si="81"/>
        <v>7048345.5219999999</v>
      </c>
      <c r="G178" s="31">
        <f>+G176+G174+G169+G138</f>
        <v>7745115.4890999999</v>
      </c>
      <c r="H178" s="45">
        <f t="shared" si="81"/>
        <v>8385799.2126952996</v>
      </c>
      <c r="I178" s="45">
        <f t="shared" si="81"/>
        <v>9077534.4130430091</v>
      </c>
      <c r="J178" s="32"/>
      <c r="K178" s="32"/>
    </row>
    <row r="179" spans="1:11">
      <c r="A179" s="45">
        <f>+A127-A178</f>
        <v>-1728838.7599999998</v>
      </c>
      <c r="B179" s="39" t="str">
        <f>B60</f>
        <v>NETT AMOUNT</v>
      </c>
      <c r="C179" s="18"/>
      <c r="D179" s="45">
        <f t="shared" ref="D179:I179" si="82">+D127-D178</f>
        <v>-2399685.5299999993</v>
      </c>
      <c r="E179" s="45">
        <f t="shared" si="82"/>
        <v>-2049880.3499999996</v>
      </c>
      <c r="F179" s="45">
        <f t="shared" si="82"/>
        <v>-1651356.2220000001</v>
      </c>
      <c r="G179" s="31">
        <f t="shared" si="82"/>
        <v>-1360459.6590999998</v>
      </c>
      <c r="H179" s="45">
        <f t="shared" si="82"/>
        <v>-1267677.7996953009</v>
      </c>
      <c r="I179" s="45">
        <f t="shared" si="82"/>
        <v>-1411600.8587430101</v>
      </c>
      <c r="J179" s="32"/>
      <c r="K179" s="32"/>
    </row>
    <row r="180" spans="1:11">
      <c r="A180" s="37"/>
      <c r="B180" s="17"/>
      <c r="C180" s="18"/>
      <c r="D180" s="19"/>
      <c r="E180" s="19"/>
      <c r="F180" s="30"/>
      <c r="G180" s="31"/>
      <c r="H180" s="30"/>
      <c r="I180" s="30"/>
      <c r="J180" s="32"/>
      <c r="K180" s="32"/>
    </row>
    <row r="181" spans="1:11">
      <c r="A181" s="37"/>
      <c r="B181" s="17"/>
      <c r="C181" s="18"/>
      <c r="D181" s="19"/>
      <c r="E181" s="19"/>
      <c r="F181" s="37"/>
      <c r="G181" s="50"/>
      <c r="H181" s="30"/>
      <c r="I181" s="30"/>
      <c r="J181" s="32"/>
      <c r="K181" s="32"/>
    </row>
    <row r="182" spans="1:11">
      <c r="A182" s="37" t="s">
        <v>72</v>
      </c>
      <c r="B182" s="29" t="s">
        <v>3</v>
      </c>
      <c r="C182" s="18" t="str">
        <f>C2</f>
        <v>ABAKUS</v>
      </c>
      <c r="D182" s="18" t="s">
        <v>469</v>
      </c>
      <c r="E182" s="18" t="s">
        <v>473</v>
      </c>
      <c r="F182" s="18" t="s">
        <v>73</v>
      </c>
      <c r="G182" s="24" t="s">
        <v>73</v>
      </c>
      <c r="H182" s="22" t="s">
        <v>651</v>
      </c>
      <c r="I182" s="22" t="s">
        <v>651</v>
      </c>
      <c r="J182" s="32"/>
      <c r="K182" s="32"/>
    </row>
    <row r="183" spans="1:11">
      <c r="A183" s="37" t="s">
        <v>10</v>
      </c>
      <c r="B183" s="17"/>
      <c r="C183" s="18" t="str">
        <f>C3</f>
        <v>VOTES</v>
      </c>
      <c r="D183" s="18" t="s">
        <v>470</v>
      </c>
      <c r="E183" s="18" t="s">
        <v>10</v>
      </c>
      <c r="F183" s="18" t="s">
        <v>11</v>
      </c>
      <c r="G183" s="24" t="s">
        <v>498</v>
      </c>
      <c r="H183" s="22" t="s">
        <v>500</v>
      </c>
      <c r="I183" s="22" t="s">
        <v>498</v>
      </c>
      <c r="J183" s="32"/>
      <c r="K183" s="32"/>
    </row>
    <row r="184" spans="1:11">
      <c r="A184" s="37" t="s">
        <v>13</v>
      </c>
      <c r="B184" s="18" t="s">
        <v>104</v>
      </c>
      <c r="C184" s="17"/>
      <c r="D184" s="18" t="s">
        <v>14</v>
      </c>
      <c r="E184" s="18" t="s">
        <v>14</v>
      </c>
      <c r="F184" s="18" t="s">
        <v>14</v>
      </c>
      <c r="G184" s="24" t="s">
        <v>15</v>
      </c>
      <c r="H184" s="22" t="s">
        <v>272</v>
      </c>
      <c r="I184" s="22" t="s">
        <v>285</v>
      </c>
      <c r="J184" s="32"/>
      <c r="K184" s="32"/>
    </row>
    <row r="185" spans="1:11">
      <c r="A185" s="37"/>
      <c r="B185" s="18"/>
      <c r="C185" s="18"/>
      <c r="D185" s="19"/>
      <c r="E185" s="19"/>
      <c r="F185" s="30"/>
      <c r="G185" s="31"/>
      <c r="H185" s="30"/>
      <c r="I185" s="30"/>
      <c r="J185" s="32"/>
      <c r="K185" s="32"/>
    </row>
    <row r="186" spans="1:11">
      <c r="A186" s="37"/>
      <c r="B186" s="29" t="s">
        <v>16</v>
      </c>
      <c r="C186" s="18"/>
      <c r="D186" s="19"/>
      <c r="E186" s="19"/>
      <c r="F186" s="30"/>
      <c r="G186" s="31"/>
      <c r="H186" s="30"/>
      <c r="I186" s="30"/>
      <c r="J186" s="32"/>
      <c r="K186" s="32"/>
    </row>
    <row r="187" spans="1:11">
      <c r="A187" s="16">
        <v>432000</v>
      </c>
      <c r="B187" s="17" t="s">
        <v>105</v>
      </c>
      <c r="C187" s="18">
        <v>5050</v>
      </c>
      <c r="D187" s="19">
        <v>-1289.68</v>
      </c>
      <c r="E187" s="19">
        <v>0</v>
      </c>
      <c r="F187" s="34">
        <v>0</v>
      </c>
      <c r="G187" s="21">
        <f>+F187*0.1+F187</f>
        <v>0</v>
      </c>
      <c r="H187" s="34">
        <f>+G187*0.1+G187</f>
        <v>0</v>
      </c>
      <c r="I187" s="34">
        <f>+H187*0.1+H187</f>
        <v>0</v>
      </c>
      <c r="J187" s="32"/>
      <c r="K187" s="32"/>
    </row>
    <row r="188" spans="1:11">
      <c r="A188" s="16">
        <v>635000</v>
      </c>
      <c r="B188" s="17" t="s">
        <v>106</v>
      </c>
      <c r="C188" s="18">
        <v>5180</v>
      </c>
      <c r="D188" s="19">
        <v>36570.79</v>
      </c>
      <c r="E188" s="19">
        <v>100000</v>
      </c>
      <c r="F188" s="20">
        <f>635000+432000</f>
        <v>1067000</v>
      </c>
      <c r="G188" s="21">
        <f>+E188*0.1+E188</f>
        <v>110000</v>
      </c>
      <c r="H188" s="34">
        <f>+G188*0.1+G188</f>
        <v>121000</v>
      </c>
      <c r="I188" s="34">
        <f>+H188*0.1+H188</f>
        <v>133100</v>
      </c>
      <c r="J188" s="32"/>
      <c r="K188" s="32"/>
    </row>
    <row r="189" spans="1:11">
      <c r="A189" s="16">
        <v>740000</v>
      </c>
      <c r="B189" s="17" t="s">
        <v>107</v>
      </c>
      <c r="C189" s="18">
        <v>5480</v>
      </c>
      <c r="D189" s="19"/>
      <c r="E189" s="19"/>
      <c r="F189" s="20">
        <v>0</v>
      </c>
      <c r="G189" s="21">
        <f t="shared" ref="G189:G193" si="83">+E189*0.1+E189</f>
        <v>0</v>
      </c>
      <c r="H189" s="34">
        <f t="shared" ref="H189:I189" si="84">+G189*0.1+G189</f>
        <v>0</v>
      </c>
      <c r="I189" s="34">
        <f t="shared" si="84"/>
        <v>0</v>
      </c>
      <c r="J189" s="32"/>
      <c r="K189" s="32"/>
    </row>
    <row r="190" spans="1:11">
      <c r="A190" s="16">
        <v>2100</v>
      </c>
      <c r="B190" s="17" t="s">
        <v>108</v>
      </c>
      <c r="C190" s="18">
        <v>5430</v>
      </c>
      <c r="D190" s="19">
        <v>0</v>
      </c>
      <c r="E190" s="19">
        <v>0</v>
      </c>
      <c r="F190" s="20">
        <f>2100*0.1+2100</f>
        <v>2310</v>
      </c>
      <c r="G190" s="21">
        <f t="shared" si="83"/>
        <v>0</v>
      </c>
      <c r="H190" s="34">
        <f t="shared" ref="H190:I190" si="85">+G190*0.1+G190</f>
        <v>0</v>
      </c>
      <c r="I190" s="34">
        <f t="shared" si="85"/>
        <v>0</v>
      </c>
      <c r="J190" s="32"/>
      <c r="K190" s="32"/>
    </row>
    <row r="191" spans="1:11">
      <c r="A191" s="16">
        <v>78800</v>
      </c>
      <c r="B191" s="17" t="s">
        <v>109</v>
      </c>
      <c r="C191" s="18">
        <v>5170</v>
      </c>
      <c r="D191" s="19">
        <v>0</v>
      </c>
      <c r="E191" s="19">
        <f>+F191</f>
        <v>86680</v>
      </c>
      <c r="F191" s="20">
        <f>78800*0.1+78800</f>
        <v>86680</v>
      </c>
      <c r="G191" s="21">
        <f t="shared" si="83"/>
        <v>95348</v>
      </c>
      <c r="H191" s="34">
        <f t="shared" ref="H191:I191" si="86">+G191*0.1+G191</f>
        <v>104882.8</v>
      </c>
      <c r="I191" s="34">
        <f t="shared" si="86"/>
        <v>115371.08</v>
      </c>
      <c r="J191" s="32"/>
      <c r="K191" s="32"/>
    </row>
    <row r="192" spans="1:11">
      <c r="A192" s="16">
        <v>5300</v>
      </c>
      <c r="B192" s="17" t="s">
        <v>110</v>
      </c>
      <c r="C192" s="18">
        <v>5240</v>
      </c>
      <c r="D192" s="19">
        <v>9214.3700000000008</v>
      </c>
      <c r="E192" s="19">
        <f>+F192</f>
        <v>2025300</v>
      </c>
      <c r="F192" s="20">
        <f>5300+2020000</f>
        <v>2025300</v>
      </c>
      <c r="G192" s="21">
        <f t="shared" si="83"/>
        <v>2227830</v>
      </c>
      <c r="H192" s="34">
        <f t="shared" ref="H192:I192" si="87">+G192*0.1+G192</f>
        <v>2450613</v>
      </c>
      <c r="I192" s="34">
        <f t="shared" si="87"/>
        <v>2695674.3</v>
      </c>
      <c r="J192" s="32"/>
      <c r="K192" s="32"/>
    </row>
    <row r="193" spans="1:11">
      <c r="A193" s="16">
        <v>8100</v>
      </c>
      <c r="B193" s="17" t="s">
        <v>111</v>
      </c>
      <c r="C193" s="18">
        <v>5210</v>
      </c>
      <c r="D193" s="19">
        <v>3300</v>
      </c>
      <c r="E193" s="19">
        <f>+F193</f>
        <v>8910</v>
      </c>
      <c r="F193" s="20">
        <f>+A193*0.1+A193</f>
        <v>8910</v>
      </c>
      <c r="G193" s="21">
        <f t="shared" si="83"/>
        <v>9801</v>
      </c>
      <c r="H193" s="34">
        <f t="shared" ref="H193:I193" si="88">+G193*0.1+G193</f>
        <v>10781.1</v>
      </c>
      <c r="I193" s="34">
        <f t="shared" si="88"/>
        <v>11859.210000000001</v>
      </c>
      <c r="J193" s="32"/>
      <c r="K193" s="32"/>
    </row>
    <row r="194" spans="1:11">
      <c r="A194" s="16">
        <f>+F194</f>
        <v>51500</v>
      </c>
      <c r="B194" s="17" t="s">
        <v>112</v>
      </c>
      <c r="C194" s="18">
        <v>5212</v>
      </c>
      <c r="D194" s="19">
        <v>0</v>
      </c>
      <c r="E194" s="19">
        <v>0</v>
      </c>
      <c r="F194" s="34">
        <v>51500</v>
      </c>
      <c r="G194" s="21">
        <f>+F194</f>
        <v>51500</v>
      </c>
      <c r="H194" s="34">
        <f t="shared" ref="H194:I195" si="89">+G194*0.1+G194</f>
        <v>56650</v>
      </c>
      <c r="I194" s="34">
        <f t="shared" si="89"/>
        <v>62315</v>
      </c>
      <c r="J194" s="32"/>
      <c r="K194" s="32"/>
    </row>
    <row r="195" spans="1:11">
      <c r="A195" s="16">
        <v>4551475</v>
      </c>
      <c r="B195" s="17" t="s">
        <v>113</v>
      </c>
      <c r="C195" s="18">
        <v>5330</v>
      </c>
      <c r="D195" s="19">
        <v>2206159.5299999998</v>
      </c>
      <c r="E195" s="19">
        <v>7699111.9299999997</v>
      </c>
      <c r="F195" s="34">
        <v>8065921.6299999999</v>
      </c>
      <c r="G195" s="21">
        <f>+F195*0.05+F195+180654</f>
        <v>8649871.7115000002</v>
      </c>
      <c r="H195" s="34">
        <f>+G195*0.1+G195</f>
        <v>9514858.882650001</v>
      </c>
      <c r="I195" s="34">
        <f t="shared" si="89"/>
        <v>10466344.770915002</v>
      </c>
      <c r="J195" s="32"/>
      <c r="K195" s="32"/>
    </row>
    <row r="196" spans="1:11">
      <c r="A196" s="45">
        <f>SUM(A187:A195)</f>
        <v>6504275</v>
      </c>
      <c r="B196" s="17"/>
      <c r="C196" s="17"/>
      <c r="D196" s="49">
        <f>SUM(D187:D195)</f>
        <v>2253955.0099999998</v>
      </c>
      <c r="E196" s="45">
        <f>SUM(E187:E195)</f>
        <v>9920001.9299999997</v>
      </c>
      <c r="F196" s="45">
        <f>SUM(F187:F195)</f>
        <v>11307621.629999999</v>
      </c>
      <c r="G196" s="31">
        <f t="shared" ref="G196:I196" si="90">SUM(G187:G195)</f>
        <v>11144350.7115</v>
      </c>
      <c r="H196" s="45">
        <f t="shared" si="90"/>
        <v>12258785.782650001</v>
      </c>
      <c r="I196" s="45">
        <f t="shared" si="90"/>
        <v>13484664.360915001</v>
      </c>
      <c r="J196" s="32"/>
      <c r="K196" s="32"/>
    </row>
    <row r="197" spans="1:11">
      <c r="A197" s="37"/>
      <c r="B197" s="29" t="s">
        <v>22</v>
      </c>
      <c r="C197" s="18"/>
      <c r="D197" s="19"/>
      <c r="E197" s="19"/>
      <c r="F197" s="30"/>
      <c r="G197" s="31"/>
      <c r="H197" s="31"/>
      <c r="I197" s="30"/>
      <c r="J197" s="32"/>
      <c r="K197" s="32"/>
    </row>
    <row r="198" spans="1:11">
      <c r="A198" s="38"/>
      <c r="B198" s="39" t="s">
        <v>23</v>
      </c>
      <c r="C198" s="29"/>
      <c r="D198" s="40"/>
      <c r="E198" s="40"/>
      <c r="F198" s="30"/>
      <c r="G198" s="31"/>
      <c r="H198" s="30"/>
      <c r="I198" s="30"/>
      <c r="J198" s="32"/>
      <c r="K198" s="32"/>
    </row>
    <row r="199" spans="1:11">
      <c r="A199" s="16">
        <v>119080</v>
      </c>
      <c r="B199" s="17" t="s">
        <v>114</v>
      </c>
      <c r="C199" s="18">
        <v>6010</v>
      </c>
      <c r="D199" s="19">
        <v>50933.64</v>
      </c>
      <c r="E199" s="19">
        <f>F199</f>
        <v>131911.07</v>
      </c>
      <c r="F199" s="20">
        <f>+'[1]STAFF SALARIES SUMMARY'!C10+'[1]STAFF SALARIES SUMMARY'!D10</f>
        <v>131911.07</v>
      </c>
      <c r="G199" s="21">
        <f>+E199*8.3/100+E199</f>
        <v>142859.68881000002</v>
      </c>
      <c r="H199" s="20">
        <f>+G199*8.3/100+G199</f>
        <v>154717.04298123001</v>
      </c>
      <c r="I199" s="20">
        <f>+H199*8.3/100+H199</f>
        <v>167558.55754867211</v>
      </c>
      <c r="J199" s="32"/>
      <c r="K199" s="32"/>
    </row>
    <row r="200" spans="1:11">
      <c r="A200" s="16">
        <v>23000</v>
      </c>
      <c r="B200" s="17" t="s">
        <v>83</v>
      </c>
      <c r="C200" s="18">
        <v>6040</v>
      </c>
      <c r="D200" s="19">
        <v>12949.45</v>
      </c>
      <c r="E200" s="19">
        <f>+D200*2</f>
        <v>25898.9</v>
      </c>
      <c r="F200" s="34">
        <f>+'[1]STAFF SALARIES SUMMARY'!G10</f>
        <v>18483.54</v>
      </c>
      <c r="G200" s="21">
        <f t="shared" ref="G200:G205" si="91">+E200*8.3/100+E200</f>
        <v>28048.508700000002</v>
      </c>
      <c r="H200" s="20">
        <f t="shared" ref="H200:I200" si="92">+G200*8.3/100+G200</f>
        <v>30376.534922100003</v>
      </c>
      <c r="I200" s="20">
        <f t="shared" si="92"/>
        <v>32897.787320634307</v>
      </c>
      <c r="J200" s="32"/>
      <c r="K200" s="32"/>
    </row>
    <row r="201" spans="1:11">
      <c r="A201" s="16">
        <v>22675.8</v>
      </c>
      <c r="B201" s="17" t="s">
        <v>115</v>
      </c>
      <c r="C201" s="18">
        <v>6050</v>
      </c>
      <c r="D201" s="19">
        <v>12158.31</v>
      </c>
      <c r="E201" s="19">
        <f>+D201*2</f>
        <v>24316.62</v>
      </c>
      <c r="F201" s="20">
        <f>+'[1]STAFF SALARIES SUMMARY'!H10</f>
        <v>21917.53</v>
      </c>
      <c r="G201" s="21">
        <f t="shared" si="91"/>
        <v>26334.899460000001</v>
      </c>
      <c r="H201" s="20">
        <f t="shared" ref="H201:I201" si="93">+G201*8.3/100+G201</f>
        <v>28520.696115179999</v>
      </c>
      <c r="I201" s="20">
        <f t="shared" si="93"/>
        <v>30887.91389273994</v>
      </c>
      <c r="J201" s="32"/>
      <c r="K201" s="32"/>
    </row>
    <row r="202" spans="1:11">
      <c r="A202" s="16">
        <v>0</v>
      </c>
      <c r="B202" s="17" t="s">
        <v>116</v>
      </c>
      <c r="C202" s="18">
        <v>6040</v>
      </c>
      <c r="D202" s="19">
        <v>0</v>
      </c>
      <c r="E202" s="19">
        <v>0</v>
      </c>
      <c r="F202" s="20">
        <f>+'[1]STAFF SALARIES SUMMARY'!I10</f>
        <v>0</v>
      </c>
      <c r="G202" s="21">
        <f t="shared" si="91"/>
        <v>0</v>
      </c>
      <c r="H202" s="20">
        <f t="shared" ref="H202:I202" si="94">+G202*8.3/100+G202</f>
        <v>0</v>
      </c>
      <c r="I202" s="20">
        <f t="shared" si="94"/>
        <v>0</v>
      </c>
      <c r="J202" s="32"/>
      <c r="K202" s="32"/>
    </row>
    <row r="203" spans="1:11">
      <c r="A203" s="16">
        <v>3000</v>
      </c>
      <c r="B203" s="17" t="s">
        <v>59</v>
      </c>
      <c r="C203" s="18">
        <v>6085</v>
      </c>
      <c r="D203" s="19">
        <v>0</v>
      </c>
      <c r="E203" s="19">
        <v>0</v>
      </c>
      <c r="F203" s="20">
        <f>+'[1]STAFF SALARIES SUMMARY'!F10</f>
        <v>0</v>
      </c>
      <c r="G203" s="21">
        <f t="shared" si="91"/>
        <v>0</v>
      </c>
      <c r="H203" s="20">
        <f t="shared" ref="H203:I203" si="95">+G203*8.3/100+G203</f>
        <v>0</v>
      </c>
      <c r="I203" s="20">
        <f t="shared" si="95"/>
        <v>0</v>
      </c>
      <c r="J203" s="32"/>
      <c r="K203" s="32"/>
    </row>
    <row r="204" spans="1:11">
      <c r="A204" s="16">
        <v>100</v>
      </c>
      <c r="B204" s="17" t="s">
        <v>117</v>
      </c>
      <c r="C204" s="18">
        <v>6088</v>
      </c>
      <c r="D204" s="19">
        <v>22.5</v>
      </c>
      <c r="E204" s="19">
        <f>+F204</f>
        <v>110.5</v>
      </c>
      <c r="F204" s="20">
        <f>+'[1]STAFF SALARIES SUMMARY'!K10</f>
        <v>110.5</v>
      </c>
      <c r="G204" s="21">
        <f t="shared" si="91"/>
        <v>119.67150000000001</v>
      </c>
      <c r="H204" s="20">
        <f t="shared" ref="H204:I204" si="96">+G204*8.3/100+G204</f>
        <v>129.60423450000002</v>
      </c>
      <c r="I204" s="20">
        <f t="shared" si="96"/>
        <v>140.36138596350003</v>
      </c>
      <c r="J204" s="32"/>
      <c r="K204" s="32"/>
    </row>
    <row r="205" spans="1:11">
      <c r="A205" s="16">
        <v>1130</v>
      </c>
      <c r="B205" s="17" t="s">
        <v>118</v>
      </c>
      <c r="C205" s="18">
        <v>6087</v>
      </c>
      <c r="D205" s="19">
        <v>617.67999999999995</v>
      </c>
      <c r="E205" s="19">
        <f>+F205</f>
        <v>1217.6400000000001</v>
      </c>
      <c r="F205" s="20">
        <f>+'[1]STAFF SALARIES SUMMARY'!J10</f>
        <v>1217.6400000000001</v>
      </c>
      <c r="G205" s="21">
        <f t="shared" si="91"/>
        <v>1318.7041200000001</v>
      </c>
      <c r="H205" s="20">
        <f t="shared" ref="H205:I205" si="97">+G205*8.3/100+G205</f>
        <v>1428.1565619600001</v>
      </c>
      <c r="I205" s="20">
        <f t="shared" si="97"/>
        <v>1546.69355660268</v>
      </c>
      <c r="J205" s="32"/>
      <c r="K205" s="32"/>
    </row>
    <row r="206" spans="1:11">
      <c r="A206" s="30">
        <f>SUM(A199:A205)</f>
        <v>168985.8</v>
      </c>
      <c r="B206" s="17"/>
      <c r="C206" s="18"/>
      <c r="D206" s="36">
        <f t="shared" ref="D206:I206" si="98">SUM(D199:D205)</f>
        <v>76681.579999999987</v>
      </c>
      <c r="E206" s="30">
        <f t="shared" si="98"/>
        <v>183454.73</v>
      </c>
      <c r="F206" s="30">
        <f t="shared" si="98"/>
        <v>173640.28000000003</v>
      </c>
      <c r="G206" s="31">
        <f t="shared" si="98"/>
        <v>198681.47259000002</v>
      </c>
      <c r="H206" s="30">
        <f t="shared" si="98"/>
        <v>215172.03481497001</v>
      </c>
      <c r="I206" s="30">
        <f t="shared" si="98"/>
        <v>233031.31370461255</v>
      </c>
      <c r="J206" s="32"/>
      <c r="K206" s="32"/>
    </row>
    <row r="207" spans="1:11">
      <c r="A207" s="38"/>
      <c r="B207" s="39" t="s">
        <v>30</v>
      </c>
      <c r="C207" s="29"/>
      <c r="D207" s="40"/>
      <c r="E207" s="40"/>
      <c r="F207" s="30"/>
      <c r="G207" s="31"/>
      <c r="H207" s="30"/>
      <c r="I207" s="30"/>
      <c r="J207" s="32"/>
      <c r="K207" s="32"/>
    </row>
    <row r="208" spans="1:11">
      <c r="A208" s="16">
        <v>8050</v>
      </c>
      <c r="B208" s="17" t="s">
        <v>90</v>
      </c>
      <c r="C208" s="18">
        <v>6540</v>
      </c>
      <c r="D208" s="19">
        <v>4665.12</v>
      </c>
      <c r="E208" s="19">
        <f>+D208</f>
        <v>4665.12</v>
      </c>
      <c r="F208" s="20">
        <f>+A208*0.1+A208</f>
        <v>8855</v>
      </c>
      <c r="G208" s="21">
        <f>+F208*6.3/100+F208</f>
        <v>9412.8649999999998</v>
      </c>
      <c r="H208" s="20">
        <f>+G208*6.3/100+G208</f>
        <v>10005.875495</v>
      </c>
      <c r="I208" s="20">
        <f>+H208*6.3/100+H208</f>
        <v>10636.245651185</v>
      </c>
      <c r="J208" s="32"/>
      <c r="K208" s="32"/>
    </row>
    <row r="209" spans="1:11">
      <c r="A209" s="16">
        <v>1930</v>
      </c>
      <c r="B209" s="17" t="s">
        <v>33</v>
      </c>
      <c r="C209" s="18">
        <v>6570</v>
      </c>
      <c r="D209" s="19">
        <v>0</v>
      </c>
      <c r="E209" s="19">
        <f>+F209/2</f>
        <v>1061.5</v>
      </c>
      <c r="F209" s="20">
        <f>+A209*0.1+A209</f>
        <v>2123</v>
      </c>
      <c r="G209" s="21">
        <f>E209</f>
        <v>1061.5</v>
      </c>
      <c r="H209" s="20">
        <f t="shared" ref="H209:I209" si="99">+G209*6.3/100+G209</f>
        <v>1128.3744999999999</v>
      </c>
      <c r="I209" s="20">
        <f t="shared" si="99"/>
        <v>1199.4620934999998</v>
      </c>
      <c r="J209" s="32"/>
      <c r="K209" s="32"/>
    </row>
    <row r="210" spans="1:11">
      <c r="A210" s="16">
        <v>1191</v>
      </c>
      <c r="B210" s="17" t="s">
        <v>62</v>
      </c>
      <c r="C210" s="18">
        <v>6690</v>
      </c>
      <c r="D210" s="19">
        <v>0</v>
      </c>
      <c r="E210" s="19">
        <f>+F210/2</f>
        <v>625.27499999999998</v>
      </c>
      <c r="F210" s="20">
        <f>+A210*0.05+A210</f>
        <v>1250.55</v>
      </c>
      <c r="G210" s="21">
        <f t="shared" ref="G210:I210" si="100">+F210*6.3/100+F210</f>
        <v>1329.33465</v>
      </c>
      <c r="H210" s="20">
        <f t="shared" si="100"/>
        <v>1413.08273295</v>
      </c>
      <c r="I210" s="20">
        <f t="shared" si="100"/>
        <v>1502.10694512585</v>
      </c>
      <c r="J210" s="32"/>
      <c r="K210" s="32"/>
    </row>
    <row r="211" spans="1:11">
      <c r="A211" s="16">
        <v>1500</v>
      </c>
      <c r="B211" s="17" t="s">
        <v>316</v>
      </c>
      <c r="C211" s="18">
        <v>7090</v>
      </c>
      <c r="D211" s="19">
        <v>1500</v>
      </c>
      <c r="E211" s="19">
        <f>+D211</f>
        <v>1500</v>
      </c>
      <c r="F211" s="20">
        <f>+A211</f>
        <v>1500</v>
      </c>
      <c r="G211" s="21">
        <f t="shared" ref="G211:I211" si="101">+F211*6.3/100+F211</f>
        <v>1594.5</v>
      </c>
      <c r="H211" s="20">
        <f t="shared" si="101"/>
        <v>1694.9535000000001</v>
      </c>
      <c r="I211" s="20">
        <f t="shared" si="101"/>
        <v>1801.7355705</v>
      </c>
      <c r="J211" s="32"/>
      <c r="K211" s="32"/>
    </row>
    <row r="212" spans="1:11">
      <c r="A212" s="16">
        <v>2200</v>
      </c>
      <c r="B212" s="17" t="s">
        <v>39</v>
      </c>
      <c r="C212" s="18">
        <v>6990</v>
      </c>
      <c r="D212" s="19">
        <v>177.9</v>
      </c>
      <c r="E212" s="19">
        <f>+F212</f>
        <v>2310</v>
      </c>
      <c r="F212" s="20">
        <f>+A212*0.05+A212</f>
        <v>2310</v>
      </c>
      <c r="G212" s="21">
        <v>0</v>
      </c>
      <c r="H212" s="20">
        <f t="shared" ref="H212:I212" si="102">+G212*6.3/100+G212</f>
        <v>0</v>
      </c>
      <c r="I212" s="20">
        <f t="shared" si="102"/>
        <v>0</v>
      </c>
      <c r="J212" s="32"/>
      <c r="K212" s="32"/>
    </row>
    <row r="213" spans="1:11">
      <c r="A213" s="16">
        <v>3700</v>
      </c>
      <c r="B213" s="17" t="s">
        <v>63</v>
      </c>
      <c r="C213" s="18">
        <v>7020</v>
      </c>
      <c r="D213" s="19">
        <v>2496.96</v>
      </c>
      <c r="E213" s="19">
        <f>+D213*2</f>
        <v>4993.92</v>
      </c>
      <c r="F213" s="20">
        <f>+A213*0.1+A213</f>
        <v>4070</v>
      </c>
      <c r="G213" s="21">
        <f t="shared" ref="G213:I213" si="103">+F213*6.3/100+F213</f>
        <v>4326.41</v>
      </c>
      <c r="H213" s="20">
        <f t="shared" si="103"/>
        <v>4598.9738299999999</v>
      </c>
      <c r="I213" s="20">
        <f t="shared" si="103"/>
        <v>4888.7091812899998</v>
      </c>
      <c r="J213" s="32"/>
      <c r="K213" s="32"/>
    </row>
    <row r="214" spans="1:11">
      <c r="A214" s="16">
        <v>8360</v>
      </c>
      <c r="B214" s="17" t="s">
        <v>65</v>
      </c>
      <c r="C214" s="18">
        <v>7081</v>
      </c>
      <c r="D214" s="19">
        <v>0</v>
      </c>
      <c r="E214" s="19">
        <f>+F214</f>
        <v>9196</v>
      </c>
      <c r="F214" s="20">
        <f>+A214*0.1+A214</f>
        <v>9196</v>
      </c>
      <c r="G214" s="21">
        <f t="shared" ref="G214:I214" si="104">+F214*6.3/100+F214</f>
        <v>9775.348</v>
      </c>
      <c r="H214" s="20">
        <f t="shared" si="104"/>
        <v>10391.194923999999</v>
      </c>
      <c r="I214" s="20">
        <f t="shared" si="104"/>
        <v>11045.840204212</v>
      </c>
      <c r="J214" s="32"/>
      <c r="K214" s="32"/>
    </row>
    <row r="215" spans="1:11">
      <c r="A215" s="16">
        <v>1200000</v>
      </c>
      <c r="B215" s="17" t="s">
        <v>107</v>
      </c>
      <c r="C215" s="18">
        <v>7100</v>
      </c>
      <c r="D215" s="19">
        <v>195499.27</v>
      </c>
      <c r="E215" s="19">
        <f>350000+2503</f>
        <v>352503</v>
      </c>
      <c r="F215" s="20">
        <v>800000</v>
      </c>
      <c r="G215" s="21">
        <v>200000</v>
      </c>
      <c r="H215" s="20">
        <f t="shared" ref="H215:I215" si="105">+G215*6.3/100+G215</f>
        <v>212600</v>
      </c>
      <c r="I215" s="20">
        <f t="shared" si="105"/>
        <v>225993.8</v>
      </c>
      <c r="J215" s="32"/>
      <c r="K215" s="32"/>
    </row>
    <row r="216" spans="1:11">
      <c r="A216" s="16">
        <v>0</v>
      </c>
      <c r="B216" s="17" t="s">
        <v>331</v>
      </c>
      <c r="C216" s="18"/>
      <c r="D216" s="19">
        <v>0</v>
      </c>
      <c r="E216" s="19">
        <v>300000</v>
      </c>
      <c r="F216" s="20">
        <v>1200000</v>
      </c>
      <c r="G216" s="21">
        <v>300000</v>
      </c>
      <c r="H216" s="20">
        <f t="shared" ref="H216:I216" si="106">+G216*6.3/100+G216</f>
        <v>318900</v>
      </c>
      <c r="I216" s="20">
        <f t="shared" si="106"/>
        <v>338990.7</v>
      </c>
      <c r="J216" s="32"/>
      <c r="K216" s="32"/>
    </row>
    <row r="217" spans="1:11">
      <c r="A217" s="30">
        <f>SUM(A208:A216)</f>
        <v>1226931</v>
      </c>
      <c r="B217" s="17"/>
      <c r="C217" s="18"/>
      <c r="D217" s="30">
        <f>SUM(D208:D216)</f>
        <v>204339.25</v>
      </c>
      <c r="E217" s="30">
        <f>SUM(E208:E216)</f>
        <v>676854.81499999994</v>
      </c>
      <c r="F217" s="30">
        <f t="shared" ref="F217" si="107">SUM(F208:F216)</f>
        <v>2029304.55</v>
      </c>
      <c r="G217" s="31">
        <f>SUM(G208:G216)</f>
        <v>527499.95765</v>
      </c>
      <c r="H217" s="30">
        <f>SUM(H208:H216)</f>
        <v>560732.45498195</v>
      </c>
      <c r="I217" s="30">
        <f>SUM(I208:I216)</f>
        <v>596058.59964581288</v>
      </c>
      <c r="J217" s="32"/>
      <c r="K217" s="32"/>
    </row>
    <row r="218" spans="1:11">
      <c r="A218" s="38"/>
      <c r="B218" s="39" t="s">
        <v>67</v>
      </c>
      <c r="C218" s="29"/>
      <c r="D218" s="40"/>
      <c r="E218" s="40"/>
      <c r="F218" s="30"/>
      <c r="G218" s="31"/>
      <c r="H218" s="30"/>
      <c r="I218" s="30"/>
      <c r="J218" s="32"/>
      <c r="K218" s="32"/>
    </row>
    <row r="219" spans="1:11">
      <c r="A219" s="37">
        <v>120800</v>
      </c>
      <c r="B219" s="17" t="s">
        <v>68</v>
      </c>
      <c r="C219" s="18">
        <v>7800</v>
      </c>
      <c r="D219" s="19">
        <v>0</v>
      </c>
      <c r="E219" s="19">
        <v>10000</v>
      </c>
      <c r="F219" s="20">
        <v>6668</v>
      </c>
      <c r="G219" s="21">
        <f>F219*6.3%+6668</f>
        <v>7088.0839999999998</v>
      </c>
      <c r="H219" s="20">
        <f>+G219*0.1+G219</f>
        <v>7796.8923999999997</v>
      </c>
      <c r="I219" s="20">
        <f>+H219*0.1+H219</f>
        <v>8576.5816400000003</v>
      </c>
      <c r="J219" s="32"/>
      <c r="K219" s="32"/>
    </row>
    <row r="220" spans="1:11">
      <c r="A220" s="30">
        <f>SUM(A219:A219)</f>
        <v>120800</v>
      </c>
      <c r="B220" s="17"/>
      <c r="C220" s="18"/>
      <c r="D220" s="30">
        <f t="shared" ref="D220:E220" si="108">SUM(D219:D219)</f>
        <v>0</v>
      </c>
      <c r="E220" s="30">
        <f t="shared" si="108"/>
        <v>10000</v>
      </c>
      <c r="F220" s="30">
        <f>SUM(F219:F219)</f>
        <v>6668</v>
      </c>
      <c r="G220" s="21">
        <f>F220*6.3%+6668</f>
        <v>7088.0839999999998</v>
      </c>
      <c r="H220" s="20">
        <f>G220*6.3%+6668</f>
        <v>7114.5492919999997</v>
      </c>
      <c r="I220" s="20">
        <f>H220*6.3%+6668</f>
        <v>7116.216605396</v>
      </c>
      <c r="J220" s="32"/>
      <c r="K220" s="32"/>
    </row>
    <row r="221" spans="1:11">
      <c r="A221" s="37"/>
      <c r="B221" s="17"/>
      <c r="C221" s="18"/>
      <c r="D221" s="19"/>
      <c r="E221" s="19"/>
      <c r="F221" s="30"/>
      <c r="G221" s="31"/>
      <c r="H221" s="30"/>
      <c r="I221" s="30"/>
      <c r="J221" s="32"/>
      <c r="K221" s="32"/>
    </row>
    <row r="222" spans="1:11">
      <c r="A222" s="45">
        <f>+A220+A217+A206</f>
        <v>1516716.8</v>
      </c>
      <c r="B222" s="39" t="s">
        <v>46</v>
      </c>
      <c r="C222" s="18"/>
      <c r="D222" s="45">
        <f t="shared" ref="D222:E222" si="109">+D220+D217+D206</f>
        <v>281020.82999999996</v>
      </c>
      <c r="E222" s="45">
        <f t="shared" si="109"/>
        <v>870309.54499999993</v>
      </c>
      <c r="F222" s="45">
        <f>+F220+F217+F206</f>
        <v>2209612.83</v>
      </c>
      <c r="G222" s="31">
        <f>+G220+G217+G206</f>
        <v>733269.51424000005</v>
      </c>
      <c r="H222" s="45">
        <f>+H220+H217+H206</f>
        <v>783019.03908891999</v>
      </c>
      <c r="I222" s="45">
        <f>+I220+I217+I206</f>
        <v>836206.12995582144</v>
      </c>
      <c r="J222" s="32"/>
      <c r="K222" s="32"/>
    </row>
    <row r="223" spans="1:11">
      <c r="A223" s="45">
        <f>+A196-A222</f>
        <v>4987558.2</v>
      </c>
      <c r="B223" s="39" t="str">
        <f>B60</f>
        <v>NETT AMOUNT</v>
      </c>
      <c r="C223" s="18"/>
      <c r="D223" s="45">
        <f t="shared" ref="D223:E223" si="110">+D196-D222</f>
        <v>1972934.1799999997</v>
      </c>
      <c r="E223" s="45">
        <f t="shared" si="110"/>
        <v>9049692.3849999998</v>
      </c>
      <c r="F223" s="45">
        <f>+F196-F222</f>
        <v>9098008.7999999989</v>
      </c>
      <c r="G223" s="31">
        <f>+G196-G222</f>
        <v>10411081.19726</v>
      </c>
      <c r="H223" s="45">
        <f>+H196-H222</f>
        <v>11475766.743561082</v>
      </c>
      <c r="I223" s="45">
        <f>+I196-I222</f>
        <v>12648458.230959181</v>
      </c>
      <c r="J223" s="32"/>
      <c r="K223" s="32"/>
    </row>
    <row r="224" spans="1:11">
      <c r="A224" s="37"/>
      <c r="B224" s="17"/>
      <c r="C224" s="18"/>
      <c r="D224" s="19"/>
      <c r="E224" s="19"/>
      <c r="F224" s="30"/>
      <c r="G224" s="31"/>
      <c r="H224" s="30"/>
      <c r="I224" s="30"/>
      <c r="J224" s="32"/>
      <c r="K224" s="32"/>
    </row>
    <row r="225" spans="1:11">
      <c r="A225" s="37"/>
      <c r="B225" s="17"/>
      <c r="C225" s="18"/>
      <c r="D225" s="19"/>
      <c r="E225" s="19"/>
      <c r="F225" s="37"/>
      <c r="G225" s="50"/>
      <c r="H225" s="30"/>
      <c r="I225" s="30"/>
      <c r="J225" s="32"/>
      <c r="K225" s="32"/>
    </row>
    <row r="226" spans="1:11">
      <c r="A226" s="37" t="s">
        <v>72</v>
      </c>
      <c r="B226" s="17"/>
      <c r="C226" s="18"/>
      <c r="D226" s="18" t="s">
        <v>469</v>
      </c>
      <c r="E226" s="18" t="s">
        <v>473</v>
      </c>
      <c r="F226" s="18" t="s">
        <v>73</v>
      </c>
      <c r="G226" s="24" t="s">
        <v>73</v>
      </c>
      <c r="H226" s="22" t="s">
        <v>651</v>
      </c>
      <c r="I226" s="22" t="s">
        <v>651</v>
      </c>
      <c r="J226" s="32"/>
      <c r="K226" s="32"/>
    </row>
    <row r="227" spans="1:11">
      <c r="A227" s="37" t="s">
        <v>10</v>
      </c>
      <c r="B227" s="29" t="s">
        <v>1</v>
      </c>
      <c r="C227" s="18" t="str">
        <f>C2</f>
        <v>ABAKUS</v>
      </c>
      <c r="D227" s="18" t="s">
        <v>470</v>
      </c>
      <c r="E227" s="18" t="s">
        <v>10</v>
      </c>
      <c r="F227" s="18" t="s">
        <v>11</v>
      </c>
      <c r="G227" s="24" t="s">
        <v>498</v>
      </c>
      <c r="H227" s="22" t="s">
        <v>500</v>
      </c>
      <c r="I227" s="22" t="s">
        <v>498</v>
      </c>
      <c r="J227" s="32"/>
      <c r="K227" s="32"/>
    </row>
    <row r="228" spans="1:11">
      <c r="A228" s="37" t="s">
        <v>13</v>
      </c>
      <c r="B228" s="17"/>
      <c r="C228" s="18" t="str">
        <f>C3</f>
        <v>VOTES</v>
      </c>
      <c r="D228" s="18" t="s">
        <v>14</v>
      </c>
      <c r="E228" s="18" t="s">
        <v>14</v>
      </c>
      <c r="F228" s="18" t="s">
        <v>14</v>
      </c>
      <c r="G228" s="24" t="s">
        <v>15</v>
      </c>
      <c r="H228" s="22" t="s">
        <v>272</v>
      </c>
      <c r="I228" s="22" t="s">
        <v>285</v>
      </c>
      <c r="J228" s="32"/>
      <c r="K228" s="32"/>
    </row>
    <row r="229" spans="1:11">
      <c r="A229" s="37"/>
      <c r="B229" s="18" t="s">
        <v>119</v>
      </c>
      <c r="C229" s="18"/>
      <c r="D229" s="19"/>
      <c r="E229" s="19"/>
      <c r="F229" s="30"/>
      <c r="G229" s="31"/>
      <c r="H229" s="30"/>
      <c r="I229" s="30"/>
      <c r="J229" s="32"/>
      <c r="K229" s="32"/>
    </row>
    <row r="230" spans="1:11">
      <c r="A230" s="37"/>
      <c r="B230" s="17"/>
      <c r="C230" s="18"/>
      <c r="D230" s="19"/>
      <c r="E230" s="19"/>
      <c r="F230" s="30"/>
      <c r="G230" s="31"/>
      <c r="H230" s="30"/>
      <c r="I230" s="30"/>
      <c r="J230" s="32"/>
      <c r="K230" s="32"/>
    </row>
    <row r="231" spans="1:11">
      <c r="A231" s="38"/>
      <c r="B231" s="29" t="s">
        <v>16</v>
      </c>
      <c r="C231" s="29"/>
      <c r="D231" s="40"/>
      <c r="E231" s="40"/>
      <c r="F231" s="30"/>
      <c r="G231" s="31"/>
      <c r="H231" s="30"/>
      <c r="I231" s="30"/>
      <c r="J231" s="32"/>
      <c r="K231" s="32"/>
    </row>
    <row r="232" spans="1:11">
      <c r="A232" s="37">
        <v>0</v>
      </c>
      <c r="B232" s="17" t="s">
        <v>120</v>
      </c>
      <c r="C232" s="18">
        <v>5485</v>
      </c>
      <c r="D232" s="19">
        <v>0</v>
      </c>
      <c r="E232" s="19">
        <v>0</v>
      </c>
      <c r="F232" s="34">
        <v>0</v>
      </c>
      <c r="G232" s="21">
        <v>0</v>
      </c>
      <c r="H232" s="34">
        <v>0</v>
      </c>
      <c r="I232" s="34">
        <v>0</v>
      </c>
      <c r="J232" s="32"/>
      <c r="K232" s="32"/>
    </row>
    <row r="233" spans="1:11">
      <c r="A233" s="37"/>
      <c r="B233" s="29"/>
      <c r="C233" s="18"/>
      <c r="D233" s="45">
        <f t="shared" ref="D233:E233" si="111">SUM(D231:D232)</f>
        <v>0</v>
      </c>
      <c r="E233" s="45">
        <f t="shared" si="111"/>
        <v>0</v>
      </c>
      <c r="F233" s="45">
        <f>SUM(F231:F232)</f>
        <v>0</v>
      </c>
      <c r="G233" s="31">
        <f t="shared" ref="G233:I233" si="112">SUM(G231:G232)</f>
        <v>0</v>
      </c>
      <c r="H233" s="45">
        <f t="shared" si="112"/>
        <v>0</v>
      </c>
      <c r="I233" s="45">
        <f t="shared" si="112"/>
        <v>0</v>
      </c>
      <c r="J233" s="32"/>
      <c r="K233" s="32"/>
    </row>
    <row r="234" spans="1:11">
      <c r="A234" s="37"/>
      <c r="B234" s="29" t="s">
        <v>22</v>
      </c>
      <c r="C234" s="18"/>
      <c r="D234" s="19"/>
      <c r="E234" s="19"/>
      <c r="F234" s="30"/>
      <c r="G234" s="31"/>
      <c r="H234" s="30"/>
      <c r="I234" s="30"/>
      <c r="J234" s="32"/>
      <c r="K234" s="32"/>
    </row>
    <row r="235" spans="1:11">
      <c r="A235" s="37"/>
      <c r="B235" s="39" t="s">
        <v>23</v>
      </c>
      <c r="C235" s="18"/>
      <c r="D235" s="19"/>
      <c r="E235" s="19"/>
      <c r="F235" s="30"/>
      <c r="G235" s="31"/>
      <c r="H235" s="30"/>
      <c r="I235" s="30"/>
      <c r="J235" s="32"/>
      <c r="K235" s="32"/>
    </row>
    <row r="236" spans="1:11">
      <c r="A236" s="16">
        <v>1139470</v>
      </c>
      <c r="B236" s="17" t="s">
        <v>81</v>
      </c>
      <c r="C236" s="18">
        <v>6010</v>
      </c>
      <c r="D236" s="19">
        <v>858032.39</v>
      </c>
      <c r="E236" s="19">
        <f>+D236*2</f>
        <v>1716064.78</v>
      </c>
      <c r="F236" s="34">
        <f>+'[1]STAFF SALARIES SUMMARY'!C9+'[1]STAFF SALARIES SUMMARY'!D9</f>
        <v>1671829.0899999999</v>
      </c>
      <c r="G236" s="21">
        <f>+E236*8.3/100+E236</f>
        <v>1858498.15674</v>
      </c>
      <c r="H236" s="34">
        <f>+G236*8.3/100+G236</f>
        <v>2012753.5037494199</v>
      </c>
      <c r="I236" s="34">
        <f>+H236*8.3/100+H236</f>
        <v>2179812.044560622</v>
      </c>
      <c r="J236" s="32"/>
      <c r="K236" s="32"/>
    </row>
    <row r="237" spans="1:11">
      <c r="A237" s="16">
        <v>117260</v>
      </c>
      <c r="B237" s="17" t="s">
        <v>82</v>
      </c>
      <c r="C237" s="18">
        <v>6030</v>
      </c>
      <c r="D237" s="19">
        <v>28259.55</v>
      </c>
      <c r="E237" s="19">
        <f>+F237</f>
        <v>94364.05</v>
      </c>
      <c r="F237" s="34">
        <f>+'[1]STAFF SALARIES SUMMARY'!I9</f>
        <v>94364.05</v>
      </c>
      <c r="G237" s="21">
        <f t="shared" ref="G237:G243" si="113">+E237*8.3/100+E237</f>
        <v>102196.26615000001</v>
      </c>
      <c r="H237" s="34">
        <f t="shared" ref="H237:I237" si="114">+G237*8.3/100+G237</f>
        <v>110678.55624045001</v>
      </c>
      <c r="I237" s="34">
        <f t="shared" si="114"/>
        <v>119864.87640840736</v>
      </c>
      <c r="J237" s="32"/>
      <c r="K237" s="32"/>
    </row>
    <row r="238" spans="1:11">
      <c r="A238" s="16">
        <v>50000</v>
      </c>
      <c r="B238" s="17" t="s">
        <v>83</v>
      </c>
      <c r="C238" s="18">
        <v>6040</v>
      </c>
      <c r="D238" s="19">
        <v>50581.46</v>
      </c>
      <c r="E238" s="19">
        <f>+D238*2</f>
        <v>101162.92</v>
      </c>
      <c r="F238" s="20">
        <f>+'[1]STAFF SALARIES SUMMARY'!G9</f>
        <v>27572</v>
      </c>
      <c r="G238" s="21">
        <f t="shared" si="113"/>
        <v>109559.44236</v>
      </c>
      <c r="H238" s="34">
        <f t="shared" ref="H238:I238" si="115">+G238*8.3/100+G238</f>
        <v>118652.87607588001</v>
      </c>
      <c r="I238" s="34">
        <f t="shared" si="115"/>
        <v>128501.06479017805</v>
      </c>
      <c r="J238" s="32"/>
      <c r="K238" s="32"/>
    </row>
    <row r="239" spans="1:11">
      <c r="A239" s="16">
        <v>125690</v>
      </c>
      <c r="B239" s="17" t="s">
        <v>84</v>
      </c>
      <c r="C239" s="18">
        <v>6050</v>
      </c>
      <c r="D239" s="19">
        <v>107059.39</v>
      </c>
      <c r="E239" s="19">
        <f>+F239</f>
        <v>204655.94</v>
      </c>
      <c r="F239" s="34">
        <f>+'[1]STAFF SALARIES SUMMARY'!H9</f>
        <v>204655.94</v>
      </c>
      <c r="G239" s="21">
        <f t="shared" si="113"/>
        <v>221642.38302000001</v>
      </c>
      <c r="H239" s="34">
        <f t="shared" ref="H239:I239" si="116">+G239*8.3/100+G239</f>
        <v>240038.70081066003</v>
      </c>
      <c r="I239" s="34">
        <f t="shared" si="116"/>
        <v>259961.91297794483</v>
      </c>
      <c r="J239" s="32"/>
      <c r="K239" s="32"/>
    </row>
    <row r="240" spans="1:11">
      <c r="A240" s="16">
        <v>96000</v>
      </c>
      <c r="B240" s="17" t="s">
        <v>85</v>
      </c>
      <c r="C240" s="18">
        <v>6070</v>
      </c>
      <c r="D240" s="19">
        <v>90074.05</v>
      </c>
      <c r="E240" s="19">
        <f>+F240</f>
        <v>238680</v>
      </c>
      <c r="F240" s="20">
        <f>+'[1]STAFF SALARIES SUMMARY'!E9</f>
        <v>238680</v>
      </c>
      <c r="G240" s="21">
        <f t="shared" si="113"/>
        <v>258490.44</v>
      </c>
      <c r="H240" s="34">
        <f t="shared" ref="H240:I240" si="117">+G240*8.3/100+G240</f>
        <v>279945.14652000001</v>
      </c>
      <c r="I240" s="34">
        <f t="shared" si="117"/>
        <v>303180.59368116001</v>
      </c>
      <c r="J240" s="32"/>
      <c r="K240" s="32"/>
    </row>
    <row r="241" spans="1:11">
      <c r="A241" s="16">
        <v>22040</v>
      </c>
      <c r="B241" s="17" t="s">
        <v>59</v>
      </c>
      <c r="C241" s="18">
        <v>6085</v>
      </c>
      <c r="D241" s="19">
        <v>13065.92</v>
      </c>
      <c r="E241" s="19">
        <f>+F241</f>
        <v>48735.839999999997</v>
      </c>
      <c r="F241" s="20">
        <f>+'[1]STAFF SALARIES SUMMARY'!F9</f>
        <v>48735.839999999997</v>
      </c>
      <c r="G241" s="21">
        <f t="shared" si="113"/>
        <v>52780.914719999993</v>
      </c>
      <c r="H241" s="34">
        <f t="shared" ref="H241:I241" si="118">+G241*8.3/100+G241</f>
        <v>57161.73064175999</v>
      </c>
      <c r="I241" s="34">
        <f t="shared" si="118"/>
        <v>61906.154285026074</v>
      </c>
      <c r="J241" s="32"/>
      <c r="K241" s="32"/>
    </row>
    <row r="242" spans="1:11">
      <c r="A242" s="16">
        <v>400</v>
      </c>
      <c r="B242" s="17" t="s">
        <v>86</v>
      </c>
      <c r="C242" s="18">
        <v>6088</v>
      </c>
      <c r="D242" s="19">
        <v>7384.13</v>
      </c>
      <c r="E242" s="19">
        <f>+D242*2</f>
        <v>14768.26</v>
      </c>
      <c r="F242" s="20">
        <f>+'[1]STAFF SALARIES SUMMARY'!K9</f>
        <v>663</v>
      </c>
      <c r="G242" s="21">
        <f t="shared" si="113"/>
        <v>15994.025580000001</v>
      </c>
      <c r="H242" s="34">
        <f t="shared" ref="H242:I242" si="119">+G242*8.3/100+G242</f>
        <v>17321.52970314</v>
      </c>
      <c r="I242" s="34">
        <f t="shared" si="119"/>
        <v>18759.21666850062</v>
      </c>
      <c r="J242" s="32"/>
      <c r="K242" s="32"/>
    </row>
    <row r="243" spans="1:11">
      <c r="A243" s="16">
        <v>11261.64</v>
      </c>
      <c r="B243" s="17" t="s">
        <v>0</v>
      </c>
      <c r="C243" s="18">
        <v>6087</v>
      </c>
      <c r="D243" s="19">
        <v>240</v>
      </c>
      <c r="E243" s="19">
        <f>+F243/2</f>
        <v>7563.96</v>
      </c>
      <c r="F243" s="20">
        <f>+'[1]STAFF SALARIES SUMMARY'!J9</f>
        <v>15127.92</v>
      </c>
      <c r="G243" s="21">
        <f t="shared" si="113"/>
        <v>8191.7686800000001</v>
      </c>
      <c r="H243" s="34">
        <f t="shared" ref="H243:I243" si="120">+G243*8.3/100+G243</f>
        <v>8871.6854804400009</v>
      </c>
      <c r="I243" s="34">
        <f t="shared" si="120"/>
        <v>9608.0353753165218</v>
      </c>
      <c r="J243" s="32"/>
      <c r="K243" s="32"/>
    </row>
    <row r="244" spans="1:11">
      <c r="A244" s="16">
        <v>0</v>
      </c>
      <c r="B244" s="17" t="s">
        <v>504</v>
      </c>
      <c r="C244" s="18"/>
      <c r="D244" s="19">
        <v>0</v>
      </c>
      <c r="E244" s="19">
        <v>0</v>
      </c>
      <c r="F244" s="20">
        <v>0</v>
      </c>
      <c r="G244" s="21">
        <v>1000000</v>
      </c>
      <c r="H244" s="34">
        <v>1000000</v>
      </c>
      <c r="I244" s="34">
        <v>1000000</v>
      </c>
      <c r="J244" s="32"/>
      <c r="K244" s="32"/>
    </row>
    <row r="245" spans="1:11">
      <c r="A245" s="45">
        <f>SUM(A236:A236:A243)</f>
        <v>1562121.64</v>
      </c>
      <c r="B245" s="17"/>
      <c r="C245" s="18"/>
      <c r="D245" s="45">
        <f t="shared" ref="D245:F245" si="121">SUM(D236:D244)</f>
        <v>1154696.8899999999</v>
      </c>
      <c r="E245" s="45">
        <f t="shared" si="121"/>
        <v>2425995.7499999995</v>
      </c>
      <c r="F245" s="45">
        <f t="shared" si="121"/>
        <v>2301627.84</v>
      </c>
      <c r="G245" s="31">
        <f>SUM(G236:G244)</f>
        <v>3627353.3972499999</v>
      </c>
      <c r="H245" s="45">
        <f t="shared" ref="H245:I245" si="122">SUM(H236:H244)</f>
        <v>3845423.7292217501</v>
      </c>
      <c r="I245" s="45">
        <f t="shared" si="122"/>
        <v>4081593.8987471554</v>
      </c>
      <c r="J245" s="32"/>
      <c r="K245" s="32"/>
    </row>
    <row r="246" spans="1:11">
      <c r="A246" s="38"/>
      <c r="B246" s="39" t="s">
        <v>30</v>
      </c>
      <c r="C246" s="29"/>
      <c r="D246" s="40"/>
      <c r="E246" s="40"/>
      <c r="F246" s="30"/>
      <c r="G246" s="31"/>
      <c r="H246" s="30"/>
      <c r="I246" s="30"/>
      <c r="J246" s="32"/>
      <c r="K246" s="32"/>
    </row>
    <row r="247" spans="1:11">
      <c r="A247" s="16">
        <v>166000</v>
      </c>
      <c r="B247" s="17" t="s">
        <v>121</v>
      </c>
      <c r="C247" s="18">
        <v>6120</v>
      </c>
      <c r="D247" s="19">
        <v>58190.54</v>
      </c>
      <c r="E247" s="19">
        <f>+F247</f>
        <v>166000</v>
      </c>
      <c r="F247" s="34">
        <v>166000</v>
      </c>
      <c r="G247" s="21">
        <f>+E247</f>
        <v>166000</v>
      </c>
      <c r="H247" s="34">
        <f t="shared" ref="H247:I251" si="123">+G247*8.3/100+G247</f>
        <v>179778</v>
      </c>
      <c r="I247" s="34">
        <f t="shared" si="123"/>
        <v>194699.57399999999</v>
      </c>
      <c r="J247" s="32"/>
      <c r="K247" s="32"/>
    </row>
    <row r="248" spans="1:11">
      <c r="A248" s="41">
        <v>18260</v>
      </c>
      <c r="B248" s="17" t="s">
        <v>33</v>
      </c>
      <c r="C248" s="42">
        <v>6570</v>
      </c>
      <c r="D248" s="43">
        <v>0</v>
      </c>
      <c r="E248" s="43">
        <f>+F248/2</f>
        <v>9130</v>
      </c>
      <c r="F248" s="20">
        <v>18260</v>
      </c>
      <c r="G248" s="21">
        <f>+E248*6.3/100+E248</f>
        <v>9705.19</v>
      </c>
      <c r="H248" s="34">
        <f t="shared" si="123"/>
        <v>10510.72077</v>
      </c>
      <c r="I248" s="34">
        <f t="shared" si="123"/>
        <v>11383.11059391</v>
      </c>
      <c r="J248" s="32"/>
      <c r="K248" s="32"/>
    </row>
    <row r="249" spans="1:11">
      <c r="A249" s="41">
        <v>3100</v>
      </c>
      <c r="B249" s="17" t="s">
        <v>316</v>
      </c>
      <c r="C249" s="42">
        <v>7090</v>
      </c>
      <c r="D249" s="43">
        <v>3410</v>
      </c>
      <c r="E249" s="43">
        <f>+D249</f>
        <v>3410</v>
      </c>
      <c r="F249" s="20">
        <f>+A249</f>
        <v>3100</v>
      </c>
      <c r="G249" s="21">
        <f>+E249*6.3/100+E249</f>
        <v>3624.83</v>
      </c>
      <c r="H249" s="34">
        <f t="shared" si="123"/>
        <v>3925.6908899999999</v>
      </c>
      <c r="I249" s="34">
        <f t="shared" si="123"/>
        <v>4251.5232338699998</v>
      </c>
      <c r="J249" s="32"/>
      <c r="K249" s="32"/>
    </row>
    <row r="250" spans="1:11">
      <c r="A250" s="41">
        <v>140000</v>
      </c>
      <c r="B250" s="17" t="s">
        <v>122</v>
      </c>
      <c r="C250" s="42">
        <v>6670</v>
      </c>
      <c r="D250" s="43">
        <v>5016</v>
      </c>
      <c r="E250" s="43">
        <v>140000</v>
      </c>
      <c r="F250" s="20">
        <v>140000</v>
      </c>
      <c r="G250" s="21">
        <f>+E250*6.3/100+E250</f>
        <v>148820</v>
      </c>
      <c r="H250" s="34">
        <f t="shared" si="123"/>
        <v>161172.06</v>
      </c>
      <c r="I250" s="34">
        <f t="shared" si="123"/>
        <v>174549.34098000001</v>
      </c>
      <c r="J250" s="32"/>
      <c r="K250" s="32"/>
    </row>
    <row r="251" spans="1:11">
      <c r="A251" s="16">
        <v>11438</v>
      </c>
      <c r="B251" s="17" t="s">
        <v>62</v>
      </c>
      <c r="C251" s="18">
        <v>6690</v>
      </c>
      <c r="D251" s="19">
        <v>0</v>
      </c>
      <c r="E251" s="19">
        <v>0</v>
      </c>
      <c r="F251" s="20">
        <v>11438</v>
      </c>
      <c r="G251" s="21">
        <f>+E251*6.3/100+E251</f>
        <v>0</v>
      </c>
      <c r="H251" s="34">
        <f t="shared" si="123"/>
        <v>0</v>
      </c>
      <c r="I251" s="34">
        <f t="shared" si="123"/>
        <v>0</v>
      </c>
      <c r="J251" s="32"/>
      <c r="K251" s="32"/>
    </row>
    <row r="252" spans="1:11">
      <c r="A252" s="16">
        <v>150000</v>
      </c>
      <c r="B252" s="17" t="s">
        <v>94</v>
      </c>
      <c r="C252" s="18">
        <v>6790</v>
      </c>
      <c r="D252" s="19">
        <v>97016.03</v>
      </c>
      <c r="E252" s="19">
        <f>+F252</f>
        <v>150000</v>
      </c>
      <c r="F252" s="20">
        <v>150000</v>
      </c>
      <c r="G252" s="21">
        <v>200000</v>
      </c>
      <c r="H252" s="20"/>
      <c r="I252" s="20"/>
      <c r="J252" s="32"/>
      <c r="K252" s="32"/>
    </row>
    <row r="253" spans="1:11">
      <c r="A253" s="16">
        <v>40000</v>
      </c>
      <c r="B253" s="17" t="s">
        <v>123</v>
      </c>
      <c r="C253" s="18">
        <v>6800</v>
      </c>
      <c r="D253" s="19">
        <v>0</v>
      </c>
      <c r="E253" s="19">
        <f>25000</f>
        <v>25000</v>
      </c>
      <c r="F253" s="20">
        <v>50000</v>
      </c>
      <c r="G253" s="21">
        <f>E253+100000</f>
        <v>125000</v>
      </c>
      <c r="H253" s="34">
        <f>G253*6.3%+50000</f>
        <v>57875</v>
      </c>
      <c r="I253" s="34">
        <f>H253*6.3%+50000</f>
        <v>53646.125</v>
      </c>
      <c r="J253" s="32"/>
      <c r="K253" s="32"/>
    </row>
    <row r="254" spans="1:11">
      <c r="A254" s="16">
        <v>15000</v>
      </c>
      <c r="B254" s="17" t="s">
        <v>96</v>
      </c>
      <c r="C254" s="18">
        <v>6850</v>
      </c>
      <c r="D254" s="19">
        <v>0</v>
      </c>
      <c r="E254" s="19">
        <f>+F254/2</f>
        <v>7500</v>
      </c>
      <c r="F254" s="20">
        <v>15000</v>
      </c>
      <c r="G254" s="21">
        <f>F254*6.3%+F254</f>
        <v>15945</v>
      </c>
      <c r="H254" s="34">
        <f>G254*6.3%+G254</f>
        <v>16949.535</v>
      </c>
      <c r="I254" s="34">
        <f>H254*6.3%+H254</f>
        <v>18017.355705000002</v>
      </c>
      <c r="J254" s="32"/>
      <c r="K254" s="32"/>
    </row>
    <row r="255" spans="1:11">
      <c r="A255" s="16">
        <v>150000</v>
      </c>
      <c r="B255" s="17" t="s">
        <v>124</v>
      </c>
      <c r="C255" s="18">
        <v>6238</v>
      </c>
      <c r="D255" s="19">
        <v>0</v>
      </c>
      <c r="E255" s="19">
        <f>+F255/2</f>
        <v>75000</v>
      </c>
      <c r="F255" s="20">
        <v>150000</v>
      </c>
      <c r="G255" s="21">
        <v>100000</v>
      </c>
      <c r="H255" s="34">
        <v>150000</v>
      </c>
      <c r="I255" s="34">
        <v>150000</v>
      </c>
      <c r="J255" s="32"/>
      <c r="K255" s="32"/>
    </row>
    <row r="256" spans="1:11">
      <c r="A256" s="16">
        <v>300000</v>
      </c>
      <c r="B256" s="17" t="s">
        <v>125</v>
      </c>
      <c r="C256" s="18">
        <v>6950</v>
      </c>
      <c r="D256" s="19">
        <v>166790.63</v>
      </c>
      <c r="E256" s="19">
        <f>+F256</f>
        <v>300000</v>
      </c>
      <c r="F256" s="20">
        <v>300000</v>
      </c>
      <c r="G256" s="21">
        <v>320000</v>
      </c>
      <c r="H256" s="20">
        <v>350000</v>
      </c>
      <c r="I256" s="20">
        <v>350000</v>
      </c>
      <c r="J256" s="32"/>
      <c r="K256" s="32"/>
    </row>
    <row r="257" spans="1:11">
      <c r="A257" s="16">
        <v>0</v>
      </c>
      <c r="B257" s="17" t="s">
        <v>99</v>
      </c>
      <c r="C257" s="18">
        <v>6970</v>
      </c>
      <c r="D257" s="19">
        <v>0</v>
      </c>
      <c r="E257" s="19">
        <v>0</v>
      </c>
      <c r="F257" s="20">
        <v>0</v>
      </c>
      <c r="G257" s="21">
        <v>0</v>
      </c>
      <c r="H257" s="20">
        <v>0</v>
      </c>
      <c r="I257" s="20">
        <v>0</v>
      </c>
      <c r="J257" s="32"/>
      <c r="K257" s="32"/>
    </row>
    <row r="258" spans="1:11">
      <c r="A258" s="16">
        <v>35601</v>
      </c>
      <c r="B258" s="17" t="s">
        <v>39</v>
      </c>
      <c r="C258" s="18">
        <v>6990</v>
      </c>
      <c r="D258" s="19">
        <v>27569.86</v>
      </c>
      <c r="E258" s="19">
        <f>+D258*2</f>
        <v>55139.72</v>
      </c>
      <c r="F258" s="20">
        <v>23000</v>
      </c>
      <c r="G258" s="21">
        <v>200000</v>
      </c>
      <c r="H258" s="20">
        <f>+G258*6.3/100+G258</f>
        <v>212600</v>
      </c>
      <c r="I258" s="20">
        <f>+H258*6.3/100+H258</f>
        <v>225993.8</v>
      </c>
      <c r="J258" s="32"/>
      <c r="K258" s="32"/>
    </row>
    <row r="259" spans="1:11">
      <c r="A259" s="16">
        <v>0</v>
      </c>
      <c r="B259" s="17" t="s">
        <v>330</v>
      </c>
      <c r="C259" s="18">
        <v>6190</v>
      </c>
      <c r="D259" s="19">
        <v>6315.21</v>
      </c>
      <c r="E259" s="19">
        <f>+F259</f>
        <v>20000</v>
      </c>
      <c r="F259" s="20">
        <v>20000</v>
      </c>
      <c r="G259" s="21">
        <f t="shared" ref="G259:I265" si="124">F259*6.3%+F259</f>
        <v>21260</v>
      </c>
      <c r="H259" s="34">
        <f t="shared" si="124"/>
        <v>22599.38</v>
      </c>
      <c r="I259" s="34">
        <f t="shared" si="124"/>
        <v>24023.140940000001</v>
      </c>
      <c r="J259" s="32"/>
      <c r="K259" s="32"/>
    </row>
    <row r="260" spans="1:11">
      <c r="A260" s="16">
        <v>80000</v>
      </c>
      <c r="B260" s="17" t="s">
        <v>63</v>
      </c>
      <c r="C260" s="18">
        <v>7020</v>
      </c>
      <c r="D260" s="19">
        <v>77539.460000000006</v>
      </c>
      <c r="E260" s="19">
        <f>+D260*2</f>
        <v>155078.92000000001</v>
      </c>
      <c r="F260" s="20">
        <v>80000</v>
      </c>
      <c r="G260" s="21">
        <f t="shared" si="124"/>
        <v>85040</v>
      </c>
      <c r="H260" s="34">
        <f t="shared" si="124"/>
        <v>90397.52</v>
      </c>
      <c r="I260" s="34">
        <f t="shared" si="124"/>
        <v>96092.563760000005</v>
      </c>
      <c r="J260" s="32"/>
      <c r="K260" s="32"/>
    </row>
    <row r="261" spans="1:11">
      <c r="A261" s="16">
        <v>24000</v>
      </c>
      <c r="B261" s="17" t="s">
        <v>100</v>
      </c>
      <c r="C261" s="18">
        <v>7021</v>
      </c>
      <c r="D261" s="19">
        <v>14345.3</v>
      </c>
      <c r="E261" s="19">
        <f>+F261</f>
        <v>36000</v>
      </c>
      <c r="F261" s="20">
        <v>36000</v>
      </c>
      <c r="G261" s="21">
        <f t="shared" si="124"/>
        <v>38268</v>
      </c>
      <c r="H261" s="34">
        <f t="shared" si="124"/>
        <v>40678.883999999998</v>
      </c>
      <c r="I261" s="34">
        <f t="shared" si="124"/>
        <v>43241.653692</v>
      </c>
      <c r="J261" s="32"/>
      <c r="K261" s="32"/>
    </row>
    <row r="262" spans="1:11">
      <c r="A262" s="16">
        <v>33000</v>
      </c>
      <c r="B262" s="17" t="s">
        <v>40</v>
      </c>
      <c r="C262" s="18">
        <v>7070</v>
      </c>
      <c r="D262" s="19">
        <v>14045.62</v>
      </c>
      <c r="E262" s="19">
        <f>F262</f>
        <v>33000</v>
      </c>
      <c r="F262" s="20">
        <v>33000</v>
      </c>
      <c r="G262" s="21">
        <f t="shared" si="124"/>
        <v>35079</v>
      </c>
      <c r="H262" s="34">
        <f t="shared" si="124"/>
        <v>37288.976999999999</v>
      </c>
      <c r="I262" s="34">
        <f t="shared" si="124"/>
        <v>39638.182550999998</v>
      </c>
      <c r="J262" s="32"/>
      <c r="K262" s="32"/>
    </row>
    <row r="263" spans="1:11">
      <c r="A263" s="16">
        <v>35000</v>
      </c>
      <c r="B263" s="17" t="s">
        <v>126</v>
      </c>
      <c r="C263" s="18">
        <v>7110</v>
      </c>
      <c r="D263" s="19"/>
      <c r="E263" s="19">
        <f>+F263</f>
        <v>35000</v>
      </c>
      <c r="F263" s="20">
        <v>35000</v>
      </c>
      <c r="G263" s="21">
        <f t="shared" si="124"/>
        <v>37205</v>
      </c>
      <c r="H263" s="34">
        <f t="shared" si="124"/>
        <v>39548.915000000001</v>
      </c>
      <c r="I263" s="34">
        <f t="shared" si="124"/>
        <v>42040.496644999999</v>
      </c>
      <c r="J263" s="32"/>
      <c r="K263" s="32"/>
    </row>
    <row r="264" spans="1:11">
      <c r="A264" s="16">
        <v>105000</v>
      </c>
      <c r="B264" s="17" t="s">
        <v>127</v>
      </c>
      <c r="C264" s="18">
        <v>7120</v>
      </c>
      <c r="D264" s="19">
        <v>2500</v>
      </c>
      <c r="E264" s="19">
        <f>+F264</f>
        <v>105000</v>
      </c>
      <c r="F264" s="20">
        <v>105000</v>
      </c>
      <c r="G264" s="21">
        <v>110000</v>
      </c>
      <c r="H264" s="34">
        <f t="shared" si="124"/>
        <v>116930</v>
      </c>
      <c r="I264" s="34">
        <f t="shared" si="124"/>
        <v>124296.59</v>
      </c>
      <c r="J264" s="32"/>
      <c r="K264" s="32"/>
    </row>
    <row r="265" spans="1:11">
      <c r="A265" s="16">
        <v>0</v>
      </c>
      <c r="B265" s="17" t="s">
        <v>574</v>
      </c>
      <c r="C265" s="18"/>
      <c r="D265" s="19">
        <v>0</v>
      </c>
      <c r="E265" s="19">
        <v>0</v>
      </c>
      <c r="F265" s="20">
        <v>0</v>
      </c>
      <c r="G265" s="21">
        <v>200000</v>
      </c>
      <c r="H265" s="34">
        <v>0</v>
      </c>
      <c r="I265" s="34">
        <f t="shared" si="124"/>
        <v>0</v>
      </c>
      <c r="J265" s="32"/>
      <c r="K265" s="32"/>
    </row>
    <row r="266" spans="1:11">
      <c r="A266" s="16">
        <v>50000</v>
      </c>
      <c r="B266" s="17" t="s">
        <v>128</v>
      </c>
      <c r="C266" s="18">
        <v>7170</v>
      </c>
      <c r="D266" s="19">
        <v>0</v>
      </c>
      <c r="E266" s="19">
        <v>0</v>
      </c>
      <c r="F266" s="20">
        <v>60000</v>
      </c>
      <c r="G266" s="21">
        <v>0</v>
      </c>
      <c r="H266" s="34">
        <f>G266*6.3%+G266</f>
        <v>0</v>
      </c>
      <c r="I266" s="34">
        <f>H266*6.3%+H266</f>
        <v>0</v>
      </c>
      <c r="J266" s="32"/>
      <c r="K266" s="32"/>
    </row>
    <row r="267" spans="1:11">
      <c r="A267" s="16">
        <v>150000</v>
      </c>
      <c r="B267" s="17" t="s">
        <v>66</v>
      </c>
      <c r="C267" s="18">
        <v>7191</v>
      </c>
      <c r="D267" s="19">
        <v>115304.75</v>
      </c>
      <c r="E267" s="19">
        <f>+D267*2</f>
        <v>230609.5</v>
      </c>
      <c r="F267" s="34">
        <v>100000</v>
      </c>
      <c r="G267" s="21">
        <f>F267*6.3%+F267</f>
        <v>106300</v>
      </c>
      <c r="H267" s="34">
        <f>G267*6.3%+G267</f>
        <v>112996.9</v>
      </c>
      <c r="I267" s="34">
        <f>H267*6.3%+H267</f>
        <v>120115.70469999999</v>
      </c>
      <c r="J267" s="32"/>
      <c r="K267" s="32"/>
    </row>
    <row r="268" spans="1:11">
      <c r="A268" s="16">
        <v>60000</v>
      </c>
      <c r="B268" s="17" t="s">
        <v>277</v>
      </c>
      <c r="C268" s="18">
        <v>6528</v>
      </c>
      <c r="D268" s="19">
        <v>23303.43</v>
      </c>
      <c r="E268" s="19">
        <f>+D268*2</f>
        <v>46606.86</v>
      </c>
      <c r="F268" s="34">
        <f>90000*0.1+90000</f>
        <v>99000</v>
      </c>
      <c r="G268" s="21">
        <v>50000</v>
      </c>
      <c r="H268" s="34">
        <f t="shared" ref="H268:I269" si="125">G268*6.3%+G268</f>
        <v>53150</v>
      </c>
      <c r="I268" s="34">
        <f t="shared" si="125"/>
        <v>56498.45</v>
      </c>
      <c r="J268" s="32"/>
      <c r="K268" s="32"/>
    </row>
    <row r="269" spans="1:11">
      <c r="A269" s="16">
        <v>35000</v>
      </c>
      <c r="B269" s="17" t="s">
        <v>65</v>
      </c>
      <c r="C269" s="18">
        <v>7081</v>
      </c>
      <c r="D269" s="19">
        <v>54893.36</v>
      </c>
      <c r="E269" s="19">
        <f>+D269</f>
        <v>54893.36</v>
      </c>
      <c r="F269" s="34">
        <v>35000</v>
      </c>
      <c r="G269" s="21">
        <f>F269*6.3%+F269</f>
        <v>37205</v>
      </c>
      <c r="H269" s="34">
        <f t="shared" si="125"/>
        <v>39548.915000000001</v>
      </c>
      <c r="I269" s="34">
        <f t="shared" si="125"/>
        <v>42040.496644999999</v>
      </c>
      <c r="J269" s="32"/>
      <c r="K269" s="32"/>
    </row>
    <row r="270" spans="1:11">
      <c r="A270" s="16"/>
      <c r="B270" s="17" t="s">
        <v>568</v>
      </c>
      <c r="C270" s="18">
        <v>0</v>
      </c>
      <c r="D270" s="19">
        <v>0</v>
      </c>
      <c r="E270" s="19">
        <v>0</v>
      </c>
      <c r="F270" s="34">
        <v>0</v>
      </c>
      <c r="G270" s="21">
        <v>100000</v>
      </c>
      <c r="H270" s="34">
        <v>0</v>
      </c>
      <c r="I270" s="34">
        <v>0</v>
      </c>
      <c r="J270" s="32"/>
      <c r="K270" s="32"/>
    </row>
    <row r="271" spans="1:11">
      <c r="A271" s="45">
        <f>SUM(A247:A269)</f>
        <v>1601399</v>
      </c>
      <c r="B271" s="17"/>
      <c r="C271" s="18"/>
      <c r="D271" s="49">
        <f>SUM(D247:D269)</f>
        <v>666240.19000000006</v>
      </c>
      <c r="E271" s="49">
        <f t="shared" ref="E271:F271" si="126">SUM(E236:E269)</f>
        <v>6499359.8599999994</v>
      </c>
      <c r="F271" s="49">
        <f t="shared" si="126"/>
        <v>6233053.6799999997</v>
      </c>
      <c r="G271" s="49">
        <f>SUM(G247:G270)</f>
        <v>2109452.02</v>
      </c>
      <c r="H271" s="49">
        <f>SUM(H247:H270)</f>
        <v>1695950.4976599999</v>
      </c>
      <c r="I271" s="49">
        <f>SUM(I247:I270)</f>
        <v>1770528.1084457804</v>
      </c>
      <c r="J271" s="32"/>
      <c r="K271" s="32"/>
    </row>
    <row r="272" spans="1:11">
      <c r="A272" s="38"/>
      <c r="B272" s="39" t="s">
        <v>69</v>
      </c>
      <c r="C272" s="29"/>
      <c r="D272" s="40"/>
      <c r="E272" s="40"/>
      <c r="F272" s="30"/>
      <c r="G272" s="31"/>
      <c r="H272" s="30"/>
      <c r="I272" s="30"/>
      <c r="J272" s="32"/>
      <c r="K272" s="32"/>
    </row>
    <row r="273" spans="1:11">
      <c r="A273" s="37">
        <v>100000</v>
      </c>
      <c r="B273" s="17" t="s">
        <v>103</v>
      </c>
      <c r="C273" s="18">
        <v>7210</v>
      </c>
      <c r="D273" s="19">
        <v>643.04</v>
      </c>
      <c r="E273" s="19">
        <f>+F273</f>
        <v>25000</v>
      </c>
      <c r="F273" s="34">
        <v>25000</v>
      </c>
      <c r="G273" s="21">
        <v>0</v>
      </c>
      <c r="H273" s="34">
        <f t="shared" ref="H273:I275" si="127">G273*6.3%+G273</f>
        <v>0</v>
      </c>
      <c r="I273" s="34">
        <f t="shared" si="127"/>
        <v>0</v>
      </c>
      <c r="J273" s="32"/>
      <c r="K273" s="32"/>
    </row>
    <row r="274" spans="1:11">
      <c r="A274" s="37">
        <f>+F274</f>
        <v>12000</v>
      </c>
      <c r="B274" s="17" t="s">
        <v>70</v>
      </c>
      <c r="C274" s="18">
        <v>7260</v>
      </c>
      <c r="D274" s="19">
        <v>1638.7</v>
      </c>
      <c r="E274" s="19">
        <f>+D274*2</f>
        <v>3277.4</v>
      </c>
      <c r="F274" s="20">
        <v>12000</v>
      </c>
      <c r="G274" s="21">
        <v>10000</v>
      </c>
      <c r="H274" s="34">
        <f t="shared" si="127"/>
        <v>10630</v>
      </c>
      <c r="I274" s="34">
        <f t="shared" si="127"/>
        <v>11299.69</v>
      </c>
      <c r="J274" s="32"/>
      <c r="K274" s="32"/>
    </row>
    <row r="275" spans="1:11">
      <c r="A275" s="37">
        <f>+F275</f>
        <v>30000</v>
      </c>
      <c r="B275" s="17" t="s">
        <v>42</v>
      </c>
      <c r="C275" s="18">
        <v>7350</v>
      </c>
      <c r="D275" s="19">
        <v>26441.23</v>
      </c>
      <c r="E275" s="19">
        <f>+D275*2</f>
        <v>52882.46</v>
      </c>
      <c r="F275" s="20">
        <v>30000</v>
      </c>
      <c r="G275" s="21">
        <v>40000</v>
      </c>
      <c r="H275" s="34">
        <f t="shared" si="127"/>
        <v>42520</v>
      </c>
      <c r="I275" s="34">
        <f t="shared" si="127"/>
        <v>45198.76</v>
      </c>
      <c r="J275" s="32"/>
      <c r="K275" s="32"/>
    </row>
    <row r="276" spans="1:11">
      <c r="A276" s="45">
        <f>SUM(A273:A275)</f>
        <v>142000</v>
      </c>
      <c r="B276" s="17"/>
      <c r="C276" s="18"/>
      <c r="D276" s="49">
        <f t="shared" ref="D276:I276" si="128">SUM(D273:D275)</f>
        <v>28722.97</v>
      </c>
      <c r="E276" s="45">
        <f t="shared" si="128"/>
        <v>81159.86</v>
      </c>
      <c r="F276" s="45">
        <f t="shared" si="128"/>
        <v>67000</v>
      </c>
      <c r="G276" s="31">
        <f t="shared" si="128"/>
        <v>50000</v>
      </c>
      <c r="H276" s="45">
        <f t="shared" si="128"/>
        <v>53150</v>
      </c>
      <c r="I276" s="45">
        <f t="shared" si="128"/>
        <v>56498.450000000004</v>
      </c>
      <c r="J276" s="32"/>
      <c r="K276" s="32"/>
    </row>
    <row r="277" spans="1:11">
      <c r="A277" s="37"/>
      <c r="B277" s="17"/>
      <c r="C277" s="18"/>
      <c r="D277" s="19"/>
      <c r="E277" s="19"/>
      <c r="F277" s="45"/>
      <c r="G277" s="31"/>
      <c r="H277" s="45"/>
      <c r="I277" s="45"/>
      <c r="J277" s="32"/>
      <c r="K277" s="32"/>
    </row>
    <row r="278" spans="1:11">
      <c r="A278" s="37"/>
      <c r="B278" s="39" t="s">
        <v>129</v>
      </c>
      <c r="C278" s="18"/>
      <c r="D278" s="19"/>
      <c r="E278" s="19"/>
      <c r="F278" s="45"/>
      <c r="G278" s="31"/>
      <c r="H278" s="45"/>
      <c r="I278" s="45"/>
      <c r="J278" s="32"/>
      <c r="K278" s="32"/>
    </row>
    <row r="279" spans="1:11">
      <c r="A279" s="37">
        <v>24600</v>
      </c>
      <c r="B279" s="17" t="s">
        <v>68</v>
      </c>
      <c r="C279" s="18">
        <v>7800</v>
      </c>
      <c r="D279" s="19">
        <v>92732.37</v>
      </c>
      <c r="E279" s="45">
        <v>103085</v>
      </c>
      <c r="F279" s="45">
        <v>103085</v>
      </c>
      <c r="G279" s="21">
        <f>F279*10%+F279</f>
        <v>113393.5</v>
      </c>
      <c r="H279" s="34">
        <f>G279*10%+G279</f>
        <v>124732.85</v>
      </c>
      <c r="I279" s="34">
        <f>H279*10%+H279</f>
        <v>137206.13500000001</v>
      </c>
      <c r="J279" s="32"/>
      <c r="K279" s="32"/>
    </row>
    <row r="280" spans="1:11">
      <c r="A280" s="37">
        <f>+A281-3330120.64</f>
        <v>0</v>
      </c>
      <c r="B280" s="17"/>
      <c r="C280" s="18"/>
      <c r="D280" s="19"/>
      <c r="E280" s="19"/>
      <c r="F280" s="45"/>
      <c r="G280" s="31"/>
      <c r="H280" s="45"/>
      <c r="I280" s="45"/>
      <c r="J280" s="32"/>
      <c r="K280" s="32"/>
    </row>
    <row r="281" spans="1:11">
      <c r="A281" s="45">
        <f>+A279+A276+A271+A245</f>
        <v>3330120.6399999997</v>
      </c>
      <c r="B281" s="39" t="s">
        <v>46</v>
      </c>
      <c r="C281" s="18"/>
      <c r="D281" s="45">
        <f t="shared" ref="D281:E281" si="129">+D279+D276+D271+D245</f>
        <v>1942392.42</v>
      </c>
      <c r="E281" s="45">
        <f t="shared" si="129"/>
        <v>9109600.4699999988</v>
      </c>
      <c r="F281" s="45">
        <f>+F279+F276+F271+F245</f>
        <v>8704766.5199999996</v>
      </c>
      <c r="G281" s="31">
        <f>+G279+G276+G271+G245</f>
        <v>5900198.9172499999</v>
      </c>
      <c r="H281" s="45">
        <f>+H279+H276+H271+H245</f>
        <v>5719257.0768817496</v>
      </c>
      <c r="I281" s="45">
        <f>+I279+I276+I271+I245</f>
        <v>6045826.5921929358</v>
      </c>
      <c r="J281" s="32"/>
      <c r="K281" s="32"/>
    </row>
    <row r="282" spans="1:11">
      <c r="A282" s="45">
        <f>+A233-A281</f>
        <v>-3330120.6399999997</v>
      </c>
      <c r="B282" s="39" t="s">
        <v>130</v>
      </c>
      <c r="C282" s="18"/>
      <c r="D282" s="45">
        <f t="shared" ref="D282:E282" si="130">+D233-D281</f>
        <v>-1942392.42</v>
      </c>
      <c r="E282" s="45">
        <f t="shared" si="130"/>
        <v>-9109600.4699999988</v>
      </c>
      <c r="F282" s="45">
        <f>+F233-F281</f>
        <v>-8704766.5199999996</v>
      </c>
      <c r="G282" s="31">
        <f>+G233-G281</f>
        <v>-5900198.9172499999</v>
      </c>
      <c r="H282" s="45">
        <f>+H233-H281</f>
        <v>-5719257.0768817496</v>
      </c>
      <c r="I282" s="45">
        <f>+I233-I281</f>
        <v>-6045826.5921929358</v>
      </c>
      <c r="J282" s="32"/>
      <c r="K282" s="32"/>
    </row>
    <row r="283" spans="1:11">
      <c r="A283" s="45"/>
      <c r="B283" s="39"/>
      <c r="C283" s="18"/>
      <c r="D283" s="19"/>
      <c r="E283" s="19"/>
      <c r="F283" s="45"/>
      <c r="G283" s="31"/>
      <c r="H283" s="45"/>
      <c r="I283" s="45"/>
      <c r="J283" s="32"/>
      <c r="K283" s="32"/>
    </row>
    <row r="284" spans="1:11">
      <c r="A284" s="37"/>
      <c r="B284" s="17"/>
      <c r="C284" s="18"/>
      <c r="D284" s="19"/>
      <c r="E284" s="19"/>
      <c r="F284" s="37"/>
      <c r="G284" s="50"/>
      <c r="H284" s="30"/>
      <c r="I284" s="30"/>
      <c r="J284" s="32"/>
      <c r="K284" s="32"/>
    </row>
    <row r="285" spans="1:11">
      <c r="A285" s="37" t="s">
        <v>72</v>
      </c>
      <c r="B285" s="17"/>
      <c r="C285" s="18"/>
      <c r="D285" s="18" t="s">
        <v>469</v>
      </c>
      <c r="E285" s="18" t="s">
        <v>473</v>
      </c>
      <c r="F285" s="18" t="s">
        <v>73</v>
      </c>
      <c r="G285" s="24" t="s">
        <v>73</v>
      </c>
      <c r="H285" s="22" t="s">
        <v>651</v>
      </c>
      <c r="I285" s="22" t="s">
        <v>651</v>
      </c>
      <c r="J285" s="32"/>
      <c r="K285" s="32"/>
    </row>
    <row r="286" spans="1:11">
      <c r="A286" s="37" t="s">
        <v>10</v>
      </c>
      <c r="B286" s="29" t="s">
        <v>2</v>
      </c>
      <c r="C286" s="18" t="str">
        <f>C2</f>
        <v>ABAKUS</v>
      </c>
      <c r="D286" s="18" t="s">
        <v>470</v>
      </c>
      <c r="E286" s="18" t="s">
        <v>10</v>
      </c>
      <c r="F286" s="18" t="s">
        <v>11</v>
      </c>
      <c r="G286" s="24" t="s">
        <v>498</v>
      </c>
      <c r="H286" s="22" t="s">
        <v>500</v>
      </c>
      <c r="I286" s="22" t="s">
        <v>498</v>
      </c>
      <c r="J286" s="32"/>
      <c r="K286" s="32"/>
    </row>
    <row r="287" spans="1:11">
      <c r="A287" s="37" t="s">
        <v>13</v>
      </c>
      <c r="B287" s="17"/>
      <c r="C287" s="18" t="str">
        <f>C3</f>
        <v>VOTES</v>
      </c>
      <c r="D287" s="18" t="s">
        <v>14</v>
      </c>
      <c r="E287" s="18" t="s">
        <v>14</v>
      </c>
      <c r="F287" s="18" t="s">
        <v>14</v>
      </c>
      <c r="G287" s="24" t="s">
        <v>15</v>
      </c>
      <c r="H287" s="22" t="s">
        <v>272</v>
      </c>
      <c r="I287" s="22" t="s">
        <v>285</v>
      </c>
      <c r="J287" s="32"/>
      <c r="K287" s="32"/>
    </row>
    <row r="288" spans="1:11">
      <c r="A288" s="37"/>
      <c r="B288" s="18" t="s">
        <v>131</v>
      </c>
      <c r="C288" s="18"/>
      <c r="D288" s="19"/>
      <c r="E288" s="19"/>
      <c r="F288" s="30"/>
      <c r="G288" s="31"/>
      <c r="H288" s="30"/>
      <c r="I288" s="30"/>
      <c r="J288" s="32"/>
      <c r="K288" s="32"/>
    </row>
    <row r="289" spans="1:11">
      <c r="A289" s="37"/>
      <c r="B289" s="17"/>
      <c r="C289" s="18"/>
      <c r="D289" s="19"/>
      <c r="E289" s="19"/>
      <c r="F289" s="30"/>
      <c r="G289" s="31"/>
      <c r="H289" s="30"/>
      <c r="I289" s="30"/>
      <c r="J289" s="32"/>
      <c r="K289" s="32"/>
    </row>
    <row r="290" spans="1:11">
      <c r="A290" s="38"/>
      <c r="B290" s="29" t="s">
        <v>16</v>
      </c>
      <c r="C290" s="29"/>
      <c r="D290" s="40"/>
      <c r="E290" s="40"/>
      <c r="F290" s="30"/>
      <c r="G290" s="31"/>
      <c r="H290" s="30"/>
      <c r="I290" s="30"/>
      <c r="J290" s="32"/>
      <c r="K290" s="32"/>
    </row>
    <row r="291" spans="1:11">
      <c r="A291" s="37">
        <v>0</v>
      </c>
      <c r="B291" s="17" t="s">
        <v>132</v>
      </c>
      <c r="C291" s="18"/>
      <c r="D291" s="19">
        <v>0</v>
      </c>
      <c r="E291" s="19">
        <v>0</v>
      </c>
      <c r="F291" s="30">
        <v>0</v>
      </c>
      <c r="G291" s="31">
        <v>0</v>
      </c>
      <c r="H291" s="30">
        <v>0</v>
      </c>
      <c r="I291" s="30">
        <v>0</v>
      </c>
      <c r="J291" s="32"/>
      <c r="K291" s="32"/>
    </row>
    <row r="292" spans="1:11">
      <c r="A292" s="30">
        <f>SUM(A291)</f>
        <v>0</v>
      </c>
      <c r="B292" s="17"/>
      <c r="C292" s="18"/>
      <c r="D292" s="30">
        <f t="shared" ref="D292:I292" si="131">SUM(D291)</f>
        <v>0</v>
      </c>
      <c r="E292" s="30">
        <f t="shared" si="131"/>
        <v>0</v>
      </c>
      <c r="F292" s="30">
        <f t="shared" si="131"/>
        <v>0</v>
      </c>
      <c r="G292" s="31">
        <f t="shared" si="131"/>
        <v>0</v>
      </c>
      <c r="H292" s="30">
        <f t="shared" si="131"/>
        <v>0</v>
      </c>
      <c r="I292" s="30">
        <f t="shared" si="131"/>
        <v>0</v>
      </c>
      <c r="J292" s="32"/>
      <c r="K292" s="32"/>
    </row>
    <row r="293" spans="1:11">
      <c r="A293" s="37"/>
      <c r="B293" s="39" t="s">
        <v>23</v>
      </c>
      <c r="C293" s="18"/>
      <c r="D293" s="19"/>
      <c r="E293" s="19"/>
      <c r="F293" s="30"/>
      <c r="G293" s="31"/>
      <c r="H293" s="30"/>
      <c r="I293" s="30"/>
      <c r="J293" s="32"/>
      <c r="K293" s="32"/>
    </row>
    <row r="294" spans="1:11">
      <c r="A294" s="16">
        <v>275210</v>
      </c>
      <c r="B294" s="17" t="s">
        <v>81</v>
      </c>
      <c r="C294" s="18">
        <v>6010</v>
      </c>
      <c r="D294" s="19">
        <v>164636</v>
      </c>
      <c r="E294" s="19">
        <f>+D294*2</f>
        <v>329272</v>
      </c>
      <c r="F294" s="34">
        <f>+'[1]STAFF SALARIES SUMMARY'!C11+'[1]STAFF SALARIES SUMMARY'!D11</f>
        <v>304023.02</v>
      </c>
      <c r="G294" s="21">
        <f>E294*8.3%+E294</f>
        <v>356601.576</v>
      </c>
      <c r="H294" s="34">
        <f>+G294*8.3/100+G294</f>
        <v>386199.50680799998</v>
      </c>
      <c r="I294" s="34">
        <f>+H294*8.3/100+H294</f>
        <v>418254.06587306398</v>
      </c>
      <c r="J294" s="32"/>
      <c r="K294" s="32"/>
    </row>
    <row r="295" spans="1:11">
      <c r="A295" s="16">
        <v>59910</v>
      </c>
      <c r="B295" s="17" t="s">
        <v>82</v>
      </c>
      <c r="C295" s="18">
        <v>6030</v>
      </c>
      <c r="D295" s="19">
        <v>11937.6</v>
      </c>
      <c r="E295" s="19">
        <f>+F295</f>
        <v>26382.1</v>
      </c>
      <c r="F295" s="34">
        <f>+'[1]STAFF SALARIES SUMMARY'!I11</f>
        <v>26382.1</v>
      </c>
      <c r="G295" s="21">
        <f t="shared" ref="G295:G301" si="132">E295*8.3%+E295</f>
        <v>28571.814299999998</v>
      </c>
      <c r="H295" s="34">
        <f t="shared" ref="H295:I295" si="133">+G295*8.3/100+G295</f>
        <v>30943.274886899999</v>
      </c>
      <c r="I295" s="34">
        <f t="shared" si="133"/>
        <v>33511.566702512697</v>
      </c>
      <c r="J295" s="32"/>
      <c r="K295" s="32"/>
    </row>
    <row r="296" spans="1:11">
      <c r="A296" s="16">
        <v>1735</v>
      </c>
      <c r="B296" s="17" t="s">
        <v>133</v>
      </c>
      <c r="C296" s="18">
        <v>6040</v>
      </c>
      <c r="D296" s="19">
        <v>0</v>
      </c>
      <c r="E296" s="19">
        <v>0</v>
      </c>
      <c r="F296" s="34">
        <f>+'[1]STAFF SALARIES SUMMARY'!G11</f>
        <v>0</v>
      </c>
      <c r="G296" s="21">
        <f t="shared" si="132"/>
        <v>0</v>
      </c>
      <c r="H296" s="34">
        <f t="shared" ref="H296:I296" si="134">+G296*8.3/100+G296</f>
        <v>0</v>
      </c>
      <c r="I296" s="34">
        <f t="shared" si="134"/>
        <v>0</v>
      </c>
      <c r="J296" s="32"/>
      <c r="K296" s="32"/>
    </row>
    <row r="297" spans="1:11">
      <c r="A297" s="16">
        <v>45730</v>
      </c>
      <c r="B297" s="17" t="s">
        <v>84</v>
      </c>
      <c r="C297" s="18">
        <v>6050</v>
      </c>
      <c r="D297" s="19">
        <v>30572.82</v>
      </c>
      <c r="E297" s="19">
        <f>+D297*2</f>
        <v>61145.64</v>
      </c>
      <c r="F297" s="34">
        <f>+'[1]STAFF SALARIES SUMMARY'!H11</f>
        <v>27440.97</v>
      </c>
      <c r="G297" s="21">
        <f t="shared" si="132"/>
        <v>66220.72812</v>
      </c>
      <c r="H297" s="34">
        <f t="shared" ref="H297:I297" si="135">+G297*8.3/100+G297</f>
        <v>71717.048553960005</v>
      </c>
      <c r="I297" s="34">
        <f t="shared" si="135"/>
        <v>77669.563583938681</v>
      </c>
      <c r="J297" s="32"/>
      <c r="K297" s="32"/>
    </row>
    <row r="298" spans="1:11">
      <c r="A298" s="16">
        <v>60000</v>
      </c>
      <c r="B298" s="17" t="s">
        <v>85</v>
      </c>
      <c r="C298" s="18">
        <v>6070</v>
      </c>
      <c r="D298" s="19">
        <v>33779.1</v>
      </c>
      <c r="E298" s="19">
        <f>+F298</f>
        <v>66300</v>
      </c>
      <c r="F298" s="34">
        <f>+'[1]STAFF SALARIES SUMMARY'!E11</f>
        <v>66300</v>
      </c>
      <c r="G298" s="21">
        <f t="shared" si="132"/>
        <v>71802.899999999994</v>
      </c>
      <c r="H298" s="34">
        <f t="shared" ref="H298:I298" si="136">+G298*8.3/100+G298</f>
        <v>77762.540699999998</v>
      </c>
      <c r="I298" s="34">
        <f t="shared" si="136"/>
        <v>84216.831578099998</v>
      </c>
      <c r="J298" s="32"/>
      <c r="K298" s="32"/>
    </row>
    <row r="299" spans="1:11">
      <c r="A299" s="16">
        <v>11000</v>
      </c>
      <c r="B299" s="17" t="s">
        <v>59</v>
      </c>
      <c r="C299" s="18">
        <v>6085</v>
      </c>
      <c r="D299" s="19">
        <v>1249.98</v>
      </c>
      <c r="E299" s="19">
        <f>+F299</f>
        <v>2496</v>
      </c>
      <c r="F299" s="20">
        <f>+'[1]STAFF SALARIES SUMMARY'!F11</f>
        <v>2496</v>
      </c>
      <c r="G299" s="21">
        <f t="shared" si="132"/>
        <v>2703.1680000000001</v>
      </c>
      <c r="H299" s="34">
        <f t="shared" ref="H299:I299" si="137">+G299*8.3/100+G299</f>
        <v>2927.5309440000001</v>
      </c>
      <c r="I299" s="34">
        <f t="shared" si="137"/>
        <v>3170.516012352</v>
      </c>
      <c r="J299" s="32"/>
      <c r="K299" s="32"/>
    </row>
    <row r="300" spans="1:11">
      <c r="A300" s="16">
        <v>100</v>
      </c>
      <c r="B300" s="17" t="s">
        <v>86</v>
      </c>
      <c r="C300" s="18">
        <v>6088</v>
      </c>
      <c r="D300" s="19">
        <v>45</v>
      </c>
      <c r="E300" s="19">
        <f>+F300</f>
        <v>110.5</v>
      </c>
      <c r="F300" s="20">
        <f>+'[1]STAFF SALARIES SUMMARY'!K11</f>
        <v>110.5</v>
      </c>
      <c r="G300" s="21">
        <f t="shared" si="132"/>
        <v>119.67149999999999</v>
      </c>
      <c r="H300" s="34">
        <f t="shared" ref="H300:I300" si="138">+G300*8.3/100+G300</f>
        <v>129.60423449999999</v>
      </c>
      <c r="I300" s="34">
        <f t="shared" si="138"/>
        <v>140.3613859635</v>
      </c>
      <c r="J300" s="32"/>
      <c r="K300" s="32"/>
    </row>
    <row r="301" spans="1:11">
      <c r="A301" s="16">
        <v>2610</v>
      </c>
      <c r="B301" s="17" t="s">
        <v>0</v>
      </c>
      <c r="C301" s="18">
        <v>6087</v>
      </c>
      <c r="D301" s="19">
        <v>1419.66</v>
      </c>
      <c r="E301" s="19">
        <f>+D301*2</f>
        <v>2839.32</v>
      </c>
      <c r="F301" s="20">
        <f>+'[1]STAFF SALARIES SUMMARY'!J11</f>
        <v>1524.5</v>
      </c>
      <c r="G301" s="21">
        <f t="shared" si="132"/>
        <v>3074.9835600000001</v>
      </c>
      <c r="H301" s="34">
        <f t="shared" ref="H301:I301" si="139">+G301*8.3/100+G301</f>
        <v>3330.2071954800003</v>
      </c>
      <c r="I301" s="34">
        <f t="shared" si="139"/>
        <v>3606.6143927048406</v>
      </c>
      <c r="J301" s="32"/>
      <c r="K301" s="32"/>
    </row>
    <row r="302" spans="1:11">
      <c r="A302" s="45">
        <f>SUM(A294:A301)</f>
        <v>456295</v>
      </c>
      <c r="B302" s="17"/>
      <c r="C302" s="18"/>
      <c r="D302" s="49">
        <f t="shared" ref="D302:I302" si="140">SUM(D294:D301)</f>
        <v>243640.16000000003</v>
      </c>
      <c r="E302" s="45">
        <f t="shared" si="140"/>
        <v>488545.56</v>
      </c>
      <c r="F302" s="45">
        <f t="shared" si="140"/>
        <v>428277.08999999997</v>
      </c>
      <c r="G302" s="31">
        <f t="shared" si="140"/>
        <v>529094.84147999994</v>
      </c>
      <c r="H302" s="45">
        <f t="shared" si="140"/>
        <v>573009.71332283993</v>
      </c>
      <c r="I302" s="45">
        <f t="shared" si="140"/>
        <v>620569.51952863554</v>
      </c>
      <c r="J302" s="32"/>
      <c r="K302" s="32"/>
    </row>
    <row r="303" spans="1:11">
      <c r="A303" s="38"/>
      <c r="B303" s="39" t="s">
        <v>30</v>
      </c>
      <c r="C303" s="29"/>
      <c r="D303" s="40"/>
      <c r="E303" s="40"/>
      <c r="F303" s="30"/>
      <c r="G303" s="31"/>
      <c r="H303" s="30"/>
      <c r="I303" s="30"/>
      <c r="J303" s="32"/>
      <c r="K303" s="32"/>
    </row>
    <row r="304" spans="1:11">
      <c r="A304" s="41">
        <v>0</v>
      </c>
      <c r="B304" s="17" t="s">
        <v>33</v>
      </c>
      <c r="C304" s="42">
        <v>6570</v>
      </c>
      <c r="D304" s="43">
        <v>0</v>
      </c>
      <c r="E304" s="43">
        <f>+F304/2</f>
        <v>2215</v>
      </c>
      <c r="F304" s="20">
        <v>4430</v>
      </c>
      <c r="G304" s="21">
        <f>E304</f>
        <v>2215</v>
      </c>
      <c r="H304" s="20">
        <f>G304*6.3%+G304</f>
        <v>2354.5450000000001</v>
      </c>
      <c r="I304" s="20">
        <f>H304*6.3%+H304</f>
        <v>2502.881335</v>
      </c>
      <c r="J304" s="32"/>
      <c r="K304" s="32"/>
    </row>
    <row r="305" spans="1:11">
      <c r="A305" s="41">
        <v>18544</v>
      </c>
      <c r="B305" s="17" t="s">
        <v>65</v>
      </c>
      <c r="C305" s="42">
        <v>7081</v>
      </c>
      <c r="D305" s="43">
        <v>18294</v>
      </c>
      <c r="E305" s="43">
        <f>+D305</f>
        <v>18294</v>
      </c>
      <c r="F305" s="20">
        <v>5300</v>
      </c>
      <c r="G305" s="21">
        <f t="shared" ref="G305:I305" si="141">F305*6.3%+F305</f>
        <v>5633.9</v>
      </c>
      <c r="H305" s="20">
        <f t="shared" si="141"/>
        <v>5988.8356999999996</v>
      </c>
      <c r="I305" s="20">
        <f t="shared" si="141"/>
        <v>6366.1323490999994</v>
      </c>
      <c r="J305" s="32"/>
      <c r="K305" s="32"/>
    </row>
    <row r="306" spans="1:11">
      <c r="A306" s="16">
        <v>2810</v>
      </c>
      <c r="B306" s="17" t="s">
        <v>62</v>
      </c>
      <c r="C306" s="18">
        <v>6690</v>
      </c>
      <c r="D306" s="19">
        <v>0</v>
      </c>
      <c r="E306" s="19">
        <f>+F306</f>
        <v>3091</v>
      </c>
      <c r="F306" s="20">
        <f>+A306*0.1+A306</f>
        <v>3091</v>
      </c>
      <c r="G306" s="21">
        <f t="shared" ref="G306:I306" si="142">F306*6.3%+F306</f>
        <v>3285.7330000000002</v>
      </c>
      <c r="H306" s="20">
        <f t="shared" si="142"/>
        <v>3492.734179</v>
      </c>
      <c r="I306" s="20">
        <f t="shared" si="142"/>
        <v>3712.7764322769999</v>
      </c>
      <c r="J306" s="32"/>
      <c r="K306" s="32"/>
    </row>
    <row r="307" spans="1:11">
      <c r="A307" s="16">
        <v>0</v>
      </c>
      <c r="B307" s="17" t="s">
        <v>94</v>
      </c>
      <c r="C307" s="18">
        <v>6790</v>
      </c>
      <c r="D307" s="19">
        <v>0</v>
      </c>
      <c r="E307" s="19">
        <v>0</v>
      </c>
      <c r="F307" s="20">
        <v>0</v>
      </c>
      <c r="G307" s="21">
        <f t="shared" ref="G307:I307" si="143">F307*6.3%+F307</f>
        <v>0</v>
      </c>
      <c r="H307" s="20">
        <f t="shared" si="143"/>
        <v>0</v>
      </c>
      <c r="I307" s="20">
        <f t="shared" si="143"/>
        <v>0</v>
      </c>
      <c r="J307" s="32"/>
      <c r="K307" s="32"/>
    </row>
    <row r="308" spans="1:11">
      <c r="A308" s="16">
        <v>2100</v>
      </c>
      <c r="B308" s="17" t="s">
        <v>39</v>
      </c>
      <c r="C308" s="18">
        <v>6990</v>
      </c>
      <c r="D308" s="19">
        <v>43.5</v>
      </c>
      <c r="E308" s="19">
        <f>+D308</f>
        <v>43.5</v>
      </c>
      <c r="F308" s="20">
        <v>0</v>
      </c>
      <c r="G308" s="21">
        <f t="shared" ref="G308:I309" si="144">F308*6.3%+F308</f>
        <v>0</v>
      </c>
      <c r="H308" s="20">
        <f t="shared" si="144"/>
        <v>0</v>
      </c>
      <c r="I308" s="20">
        <f t="shared" si="144"/>
        <v>0</v>
      </c>
      <c r="J308" s="32"/>
      <c r="K308" s="32"/>
    </row>
    <row r="309" spans="1:11">
      <c r="A309" s="16">
        <v>2500</v>
      </c>
      <c r="B309" s="17" t="s">
        <v>40</v>
      </c>
      <c r="C309" s="18">
        <v>7070</v>
      </c>
      <c r="D309" s="19">
        <v>4579.88</v>
      </c>
      <c r="E309" s="19">
        <f>+F309</f>
        <v>12000</v>
      </c>
      <c r="F309" s="20">
        <v>12000</v>
      </c>
      <c r="G309" s="21">
        <f t="shared" si="144"/>
        <v>12756</v>
      </c>
      <c r="H309" s="20">
        <f t="shared" si="144"/>
        <v>13559.628000000001</v>
      </c>
      <c r="I309" s="20">
        <f t="shared" si="144"/>
        <v>14413.884564</v>
      </c>
      <c r="J309" s="32"/>
      <c r="K309" s="32"/>
    </row>
    <row r="310" spans="1:11">
      <c r="A310" s="45">
        <f>SUM(A304:A309)</f>
        <v>25954</v>
      </c>
      <c r="B310" s="17"/>
      <c r="C310" s="18"/>
      <c r="D310" s="49">
        <f t="shared" ref="D310:I310" si="145">SUM(D304:D309)</f>
        <v>22917.38</v>
      </c>
      <c r="E310" s="45">
        <f t="shared" si="145"/>
        <v>35643.5</v>
      </c>
      <c r="F310" s="45">
        <f t="shared" si="145"/>
        <v>24821</v>
      </c>
      <c r="G310" s="31">
        <f t="shared" si="145"/>
        <v>23890.633000000002</v>
      </c>
      <c r="H310" s="45">
        <f t="shared" si="145"/>
        <v>25395.742879000001</v>
      </c>
      <c r="I310" s="45">
        <f t="shared" si="145"/>
        <v>26995.674680377</v>
      </c>
      <c r="J310" s="32"/>
      <c r="K310" s="32"/>
    </row>
    <row r="311" spans="1:11">
      <c r="A311" s="38"/>
      <c r="B311" s="39" t="s">
        <v>69</v>
      </c>
      <c r="C311" s="29"/>
      <c r="D311" s="40"/>
      <c r="E311" s="40"/>
      <c r="F311" s="30"/>
      <c r="G311" s="31"/>
      <c r="H311" s="30"/>
      <c r="I311" s="30"/>
      <c r="J311" s="32"/>
      <c r="K311" s="32"/>
    </row>
    <row r="312" spans="1:11">
      <c r="A312" s="16">
        <f>+F312</f>
        <v>7000</v>
      </c>
      <c r="B312" s="17" t="s">
        <v>70</v>
      </c>
      <c r="C312" s="18">
        <v>7260</v>
      </c>
      <c r="D312" s="19">
        <v>680.72</v>
      </c>
      <c r="E312" s="19">
        <f>+F312/2</f>
        <v>3500</v>
      </c>
      <c r="F312" s="34">
        <v>7000</v>
      </c>
      <c r="G312" s="21">
        <v>0</v>
      </c>
      <c r="H312" s="20">
        <v>0</v>
      </c>
      <c r="I312" s="20">
        <v>0</v>
      </c>
      <c r="J312" s="32"/>
      <c r="K312" s="32"/>
    </row>
    <row r="313" spans="1:11">
      <c r="A313" s="45">
        <f>+A312</f>
        <v>7000</v>
      </c>
      <c r="B313" s="17"/>
      <c r="C313" s="18"/>
      <c r="D313" s="49">
        <f t="shared" ref="D313:I313" si="146">+D312</f>
        <v>680.72</v>
      </c>
      <c r="E313" s="45">
        <f t="shared" si="146"/>
        <v>3500</v>
      </c>
      <c r="F313" s="45">
        <f t="shared" si="146"/>
        <v>7000</v>
      </c>
      <c r="G313" s="31">
        <f t="shared" si="146"/>
        <v>0</v>
      </c>
      <c r="H313" s="45">
        <f t="shared" si="146"/>
        <v>0</v>
      </c>
      <c r="I313" s="45">
        <f t="shared" si="146"/>
        <v>0</v>
      </c>
      <c r="J313" s="32"/>
      <c r="K313" s="32"/>
    </row>
    <row r="314" spans="1:11">
      <c r="A314" s="37"/>
      <c r="B314" s="39" t="s">
        <v>67</v>
      </c>
      <c r="C314" s="18"/>
      <c r="D314" s="19"/>
      <c r="E314" s="19"/>
      <c r="F314" s="30"/>
      <c r="G314" s="31"/>
      <c r="H314" s="45"/>
      <c r="I314" s="45"/>
      <c r="J314" s="32"/>
      <c r="K314" s="32"/>
    </row>
    <row r="315" spans="1:11">
      <c r="A315" s="16">
        <v>3000</v>
      </c>
      <c r="B315" s="17" t="s">
        <v>68</v>
      </c>
      <c r="C315" s="18">
        <v>7800</v>
      </c>
      <c r="D315" s="19">
        <v>648.67999999999995</v>
      </c>
      <c r="E315" s="19">
        <f>+F315</f>
        <v>3121</v>
      </c>
      <c r="F315" s="34">
        <v>3121</v>
      </c>
      <c r="G315" s="21">
        <f>F315*6.3%+3121</f>
        <v>3317.623</v>
      </c>
      <c r="H315" s="20">
        <f>+G315*0.1+G315</f>
        <v>3649.3852999999999</v>
      </c>
      <c r="I315" s="20">
        <f>+H315*0.1+H315</f>
        <v>4014.3238299999998</v>
      </c>
      <c r="J315" s="32"/>
      <c r="K315" s="32"/>
    </row>
    <row r="316" spans="1:11">
      <c r="A316" s="45">
        <f>+A315</f>
        <v>3000</v>
      </c>
      <c r="B316" s="17"/>
      <c r="C316" s="18"/>
      <c r="D316" s="45">
        <f t="shared" ref="D316:E316" si="147">+D315</f>
        <v>648.67999999999995</v>
      </c>
      <c r="E316" s="45">
        <f t="shared" si="147"/>
        <v>3121</v>
      </c>
      <c r="F316" s="45">
        <f>+F315</f>
        <v>3121</v>
      </c>
      <c r="G316" s="31">
        <f>+G315</f>
        <v>3317.623</v>
      </c>
      <c r="H316" s="45">
        <f>+H315</f>
        <v>3649.3852999999999</v>
      </c>
      <c r="I316" s="45">
        <f>+I315</f>
        <v>4014.3238299999998</v>
      </c>
      <c r="J316" s="32"/>
      <c r="K316" s="32"/>
    </row>
    <row r="317" spans="1:11">
      <c r="A317" s="45">
        <f>+A316+A313+A310+A302</f>
        <v>492249</v>
      </c>
      <c r="B317" s="39" t="s">
        <v>46</v>
      </c>
      <c r="C317" s="18"/>
      <c r="D317" s="45">
        <f t="shared" ref="D317:E317" si="148">+D316+D313+D310+D302</f>
        <v>267886.94000000006</v>
      </c>
      <c r="E317" s="45">
        <f t="shared" si="148"/>
        <v>530810.06000000006</v>
      </c>
      <c r="F317" s="45">
        <f>+F316+F313+F310+F302</f>
        <v>463219.08999999997</v>
      </c>
      <c r="G317" s="31">
        <f>+G316+G313+G310+G302</f>
        <v>556303.09748</v>
      </c>
      <c r="H317" s="45">
        <f>+H316+H313+H310+H302</f>
        <v>602054.84150183992</v>
      </c>
      <c r="I317" s="45">
        <f>+I316+I313+I310+I302</f>
        <v>651579.51803901256</v>
      </c>
      <c r="J317" s="32"/>
      <c r="K317" s="32"/>
    </row>
    <row r="318" spans="1:11">
      <c r="A318" s="45">
        <f>+A292-A317</f>
        <v>-492249</v>
      </c>
      <c r="B318" s="39" t="str">
        <f>B60</f>
        <v>NETT AMOUNT</v>
      </c>
      <c r="C318" s="18"/>
      <c r="D318" s="45">
        <f t="shared" ref="D318:E318" si="149">+D292-D317</f>
        <v>-267886.94000000006</v>
      </c>
      <c r="E318" s="45">
        <f t="shared" si="149"/>
        <v>-530810.06000000006</v>
      </c>
      <c r="F318" s="45">
        <f>+F292-F317</f>
        <v>-463219.08999999997</v>
      </c>
      <c r="G318" s="31">
        <f>+G292-G317</f>
        <v>-556303.09748</v>
      </c>
      <c r="H318" s="45">
        <f>+H292-H317</f>
        <v>-602054.84150183992</v>
      </c>
      <c r="I318" s="45">
        <f>+I292-I317</f>
        <v>-651579.51803901256</v>
      </c>
      <c r="J318" s="32"/>
      <c r="K318" s="32"/>
    </row>
    <row r="319" spans="1:11">
      <c r="A319" s="37"/>
      <c r="B319" s="17"/>
      <c r="C319" s="18"/>
      <c r="D319" s="19"/>
      <c r="E319" s="19"/>
      <c r="F319" s="30"/>
      <c r="G319" s="31"/>
      <c r="H319" s="30"/>
      <c r="I319" s="30"/>
      <c r="J319" s="32"/>
      <c r="K319" s="32"/>
    </row>
    <row r="320" spans="1:11">
      <c r="A320" s="37" t="s">
        <v>273</v>
      </c>
      <c r="B320" s="17"/>
      <c r="C320" s="18"/>
      <c r="D320" s="19"/>
      <c r="E320" s="19"/>
      <c r="F320" s="37"/>
      <c r="G320" s="50"/>
      <c r="H320" s="30"/>
      <c r="I320" s="30"/>
      <c r="J320" s="32"/>
      <c r="K320" s="32"/>
    </row>
    <row r="321" spans="1:11">
      <c r="A321" s="37" t="s">
        <v>72</v>
      </c>
      <c r="B321" s="17"/>
      <c r="C321" s="18"/>
      <c r="D321" s="18" t="s">
        <v>469</v>
      </c>
      <c r="E321" s="18" t="s">
        <v>473</v>
      </c>
      <c r="F321" s="18" t="s">
        <v>73</v>
      </c>
      <c r="G321" s="24" t="s">
        <v>73</v>
      </c>
      <c r="H321" s="22" t="s">
        <v>651</v>
      </c>
      <c r="I321" s="22" t="s">
        <v>651</v>
      </c>
      <c r="J321" s="32"/>
      <c r="K321" s="32"/>
    </row>
    <row r="322" spans="1:11">
      <c r="A322" s="37" t="s">
        <v>10</v>
      </c>
      <c r="B322" s="29" t="s">
        <v>134</v>
      </c>
      <c r="C322" s="18" t="str">
        <f>C2</f>
        <v>ABAKUS</v>
      </c>
      <c r="D322" s="18" t="s">
        <v>470</v>
      </c>
      <c r="E322" s="18" t="s">
        <v>10</v>
      </c>
      <c r="F322" s="18" t="s">
        <v>11</v>
      </c>
      <c r="G322" s="24" t="s">
        <v>498</v>
      </c>
      <c r="H322" s="22" t="s">
        <v>500</v>
      </c>
      <c r="I322" s="22" t="s">
        <v>498</v>
      </c>
      <c r="J322" s="32"/>
      <c r="K322" s="32"/>
    </row>
    <row r="323" spans="1:11">
      <c r="A323" s="37" t="s">
        <v>13</v>
      </c>
      <c r="B323" s="17"/>
      <c r="C323" s="18" t="str">
        <f>C3</f>
        <v>VOTES</v>
      </c>
      <c r="D323" s="18" t="s">
        <v>14</v>
      </c>
      <c r="E323" s="18" t="s">
        <v>14</v>
      </c>
      <c r="F323" s="18" t="s">
        <v>14</v>
      </c>
      <c r="G323" s="24" t="s">
        <v>15</v>
      </c>
      <c r="H323" s="22" t="s">
        <v>272</v>
      </c>
      <c r="I323" s="22" t="s">
        <v>285</v>
      </c>
      <c r="J323" s="32"/>
      <c r="K323" s="32"/>
    </row>
    <row r="324" spans="1:11">
      <c r="A324" s="37"/>
      <c r="B324" s="18" t="s">
        <v>135</v>
      </c>
      <c r="C324" s="18"/>
      <c r="D324" s="19"/>
      <c r="E324" s="19"/>
      <c r="F324" s="30"/>
      <c r="G324" s="31"/>
      <c r="H324" s="30"/>
      <c r="I324" s="30"/>
      <c r="J324" s="32"/>
      <c r="K324" s="32"/>
    </row>
    <row r="325" spans="1:11">
      <c r="A325" s="38"/>
      <c r="B325" s="29" t="s">
        <v>16</v>
      </c>
      <c r="C325" s="29"/>
      <c r="D325" s="40"/>
      <c r="E325" s="40"/>
      <c r="F325" s="30"/>
      <c r="G325" s="31"/>
      <c r="H325" s="30"/>
      <c r="I325" s="30"/>
      <c r="J325" s="32"/>
      <c r="K325" s="32"/>
    </row>
    <row r="326" spans="1:11">
      <c r="A326" s="16">
        <v>300000</v>
      </c>
      <c r="B326" s="17" t="s">
        <v>136</v>
      </c>
      <c r="C326" s="18">
        <v>5095</v>
      </c>
      <c r="D326" s="19">
        <v>0</v>
      </c>
      <c r="E326" s="19">
        <v>0</v>
      </c>
      <c r="F326" s="34">
        <v>0</v>
      </c>
      <c r="G326" s="21">
        <v>0</v>
      </c>
      <c r="H326" s="34">
        <v>0</v>
      </c>
      <c r="I326" s="34">
        <v>0</v>
      </c>
      <c r="J326" s="32"/>
      <c r="K326" s="32"/>
    </row>
    <row r="327" spans="1:11">
      <c r="A327" s="41">
        <v>517344</v>
      </c>
      <c r="B327" s="53" t="s">
        <v>137</v>
      </c>
      <c r="C327" s="42">
        <v>5460</v>
      </c>
      <c r="D327" s="43">
        <v>288556</v>
      </c>
      <c r="E327" s="43">
        <f>F327</f>
        <v>1123437</v>
      </c>
      <c r="F327" s="20">
        <f>1000000+124000-563</f>
        <v>1123437</v>
      </c>
      <c r="G327" s="21">
        <f>+F327*0.1+F327-100000-200000</f>
        <v>935780.7</v>
      </c>
      <c r="H327" s="20">
        <f>+G327*0.1+G327</f>
        <v>1029358.77</v>
      </c>
      <c r="I327" s="20">
        <f>+H327*0.1+H327</f>
        <v>1132294.6470000001</v>
      </c>
      <c r="J327" s="32"/>
      <c r="K327" s="32"/>
    </row>
    <row r="328" spans="1:11">
      <c r="A328" s="45">
        <f>SUM(A326:A327)</f>
        <v>817344</v>
      </c>
      <c r="B328" s="53"/>
      <c r="C328" s="42"/>
      <c r="D328" s="49">
        <f>SUM(D326:D327)</f>
        <v>288556</v>
      </c>
      <c r="E328" s="45">
        <f>SUM(E326:E327)</f>
        <v>1123437</v>
      </c>
      <c r="F328" s="45">
        <f>SUM(F326:F327)</f>
        <v>1123437</v>
      </c>
      <c r="G328" s="31">
        <f>SUM(G326:G327)</f>
        <v>935780.7</v>
      </c>
      <c r="H328" s="45">
        <f t="shared" ref="H328:I328" si="150">SUM(H326:H327)</f>
        <v>1029358.77</v>
      </c>
      <c r="I328" s="45">
        <f t="shared" si="150"/>
        <v>1132294.6470000001</v>
      </c>
      <c r="J328" s="32"/>
      <c r="K328" s="32"/>
    </row>
    <row r="329" spans="1:11">
      <c r="A329" s="37"/>
      <c r="B329" s="29" t="s">
        <v>22</v>
      </c>
      <c r="C329" s="18"/>
      <c r="D329" s="19"/>
      <c r="E329" s="19"/>
      <c r="F329" s="30"/>
      <c r="G329" s="31"/>
      <c r="H329" s="30"/>
      <c r="I329" s="30"/>
      <c r="J329" s="32"/>
      <c r="K329" s="32"/>
    </row>
    <row r="330" spans="1:11">
      <c r="A330" s="37"/>
      <c r="B330" s="39" t="s">
        <v>23</v>
      </c>
      <c r="C330" s="18"/>
      <c r="D330" s="19"/>
      <c r="E330" s="19"/>
      <c r="F330" s="30"/>
      <c r="G330" s="31"/>
      <c r="H330" s="30"/>
      <c r="I330" s="30"/>
      <c r="J330" s="32"/>
      <c r="K330" s="32"/>
    </row>
    <row r="331" spans="1:11">
      <c r="A331" s="16">
        <v>71170</v>
      </c>
      <c r="B331" s="17" t="s">
        <v>81</v>
      </c>
      <c r="C331" s="18">
        <v>6010</v>
      </c>
      <c r="D331" s="19">
        <v>67151.8</v>
      </c>
      <c r="E331" s="19">
        <f>+F331</f>
        <v>142340.82</v>
      </c>
      <c r="F331" s="34">
        <f>+'[1]STAFF SALARIES SUMMARY'!C12+'[1]STAFF SALARIES SUMMARY'!D12</f>
        <v>142340.82</v>
      </c>
      <c r="G331" s="21">
        <f>+E331*8.3/100+E331</f>
        <v>154155.10806</v>
      </c>
      <c r="H331" s="34">
        <f>+G331*8.3/100+G331</f>
        <v>166949.98202898001</v>
      </c>
      <c r="I331" s="34">
        <f>+H331*8.3/100+H331</f>
        <v>180806.83053738537</v>
      </c>
      <c r="J331" s="32"/>
      <c r="K331" s="32"/>
    </row>
    <row r="332" spans="1:11">
      <c r="A332" s="16">
        <v>7526</v>
      </c>
      <c r="B332" s="17" t="s">
        <v>82</v>
      </c>
      <c r="C332" s="18">
        <v>6030</v>
      </c>
      <c r="D332" s="19">
        <v>909.6</v>
      </c>
      <c r="E332" s="19">
        <f>+F332/2</f>
        <v>13191.05</v>
      </c>
      <c r="F332" s="34">
        <f>+'[1]STAFF SALARIES SUMMARY'!I12</f>
        <v>26382.1</v>
      </c>
      <c r="G332" s="21">
        <f t="shared" ref="G332:G336" si="151">+E332*8.3/100+E332</f>
        <v>14285.907149999999</v>
      </c>
      <c r="H332" s="34">
        <f t="shared" ref="H332:I332" si="152">+G332*8.3/100+G332</f>
        <v>15471.637443449999</v>
      </c>
      <c r="I332" s="34">
        <f t="shared" si="152"/>
        <v>16755.783351256348</v>
      </c>
      <c r="J332" s="32"/>
      <c r="K332" s="32"/>
    </row>
    <row r="333" spans="1:11">
      <c r="A333" s="16">
        <v>11825</v>
      </c>
      <c r="B333" s="17" t="s">
        <v>84</v>
      </c>
      <c r="C333" s="18">
        <v>6050</v>
      </c>
      <c r="D333" s="19">
        <v>11354.09</v>
      </c>
      <c r="E333" s="34">
        <f>+F333</f>
        <v>23650.47</v>
      </c>
      <c r="F333" s="34">
        <f>+'[1]STAFF SALARIES SUMMARY'!H12</f>
        <v>23650.47</v>
      </c>
      <c r="G333" s="21">
        <f t="shared" si="151"/>
        <v>25613.459010000002</v>
      </c>
      <c r="H333" s="34">
        <f t="shared" ref="H333:I333" si="153">+G333*8.3/100+G333</f>
        <v>27739.376107830001</v>
      </c>
      <c r="I333" s="34">
        <f t="shared" si="153"/>
        <v>30041.744324779891</v>
      </c>
      <c r="J333" s="32"/>
      <c r="K333" s="32"/>
    </row>
    <row r="334" spans="1:11">
      <c r="A334" s="16">
        <v>1270</v>
      </c>
      <c r="B334" s="17" t="s">
        <v>59</v>
      </c>
      <c r="C334" s="18">
        <v>6085</v>
      </c>
      <c r="D334" s="19">
        <v>0</v>
      </c>
      <c r="E334" s="19">
        <v>0</v>
      </c>
      <c r="F334" s="20">
        <f>+'[1]STAFF SALARIES SUMMARY'!F12</f>
        <v>2496</v>
      </c>
      <c r="G334" s="21">
        <f t="shared" si="151"/>
        <v>0</v>
      </c>
      <c r="H334" s="34">
        <f t="shared" ref="H334:I334" si="154">+G334*8.3/100+G334</f>
        <v>0</v>
      </c>
      <c r="I334" s="34">
        <f t="shared" si="154"/>
        <v>0</v>
      </c>
      <c r="J334" s="32"/>
      <c r="K334" s="32"/>
    </row>
    <row r="335" spans="1:11">
      <c r="A335" s="16">
        <v>25</v>
      </c>
      <c r="B335" s="17" t="s">
        <v>86</v>
      </c>
      <c r="C335" s="18">
        <v>6088</v>
      </c>
      <c r="D335" s="19">
        <v>22.5</v>
      </c>
      <c r="E335" s="19">
        <f>F335</f>
        <v>55.25</v>
      </c>
      <c r="F335" s="20">
        <f>+'[1]STAFF SALARIES SUMMARY'!K12</f>
        <v>55.25</v>
      </c>
      <c r="G335" s="21">
        <f t="shared" si="151"/>
        <v>59.835750000000004</v>
      </c>
      <c r="H335" s="34">
        <f t="shared" ref="H335:I335" si="155">+G335*8.3/100+G335</f>
        <v>64.802117250000009</v>
      </c>
      <c r="I335" s="34">
        <f t="shared" si="155"/>
        <v>70.180692981750013</v>
      </c>
      <c r="J335" s="32"/>
      <c r="K335" s="32"/>
    </row>
    <row r="336" spans="1:11">
      <c r="A336" s="16">
        <v>695</v>
      </c>
      <c r="B336" s="17" t="s">
        <v>0</v>
      </c>
      <c r="C336" s="18">
        <v>6087</v>
      </c>
      <c r="D336" s="19">
        <v>645.45000000000005</v>
      </c>
      <c r="E336" s="19">
        <f>F336</f>
        <v>1313.92</v>
      </c>
      <c r="F336" s="20">
        <f>+'[1]STAFF SALARIES SUMMARY'!J12</f>
        <v>1313.92</v>
      </c>
      <c r="G336" s="21">
        <f t="shared" si="151"/>
        <v>1422.9753600000001</v>
      </c>
      <c r="H336" s="34">
        <f t="shared" ref="H336:I336" si="156">+G336*8.3/100+G336</f>
        <v>1541.0823148800002</v>
      </c>
      <c r="I336" s="34">
        <f t="shared" si="156"/>
        <v>1668.9921470150402</v>
      </c>
      <c r="J336" s="32"/>
      <c r="K336" s="32"/>
    </row>
    <row r="337" spans="1:11">
      <c r="A337" s="45">
        <f>SUM(A331:A336)</f>
        <v>92511</v>
      </c>
      <c r="B337" s="17"/>
      <c r="C337" s="18"/>
      <c r="D337" s="49">
        <f t="shared" ref="D337:I337" si="157">SUM(D331:D336)</f>
        <v>80083.44</v>
      </c>
      <c r="E337" s="45">
        <f t="shared" si="157"/>
        <v>180551.51</v>
      </c>
      <c r="F337" s="45">
        <f t="shared" si="157"/>
        <v>196238.56000000003</v>
      </c>
      <c r="G337" s="31">
        <f t="shared" si="157"/>
        <v>195537.28532999998</v>
      </c>
      <c r="H337" s="45">
        <f t="shared" si="157"/>
        <v>211766.88001239</v>
      </c>
      <c r="I337" s="45">
        <f t="shared" si="157"/>
        <v>229343.53105341838</v>
      </c>
      <c r="J337" s="32"/>
      <c r="K337" s="32"/>
    </row>
    <row r="338" spans="1:11">
      <c r="A338" s="37"/>
      <c r="B338" s="39" t="s">
        <v>30</v>
      </c>
      <c r="C338" s="18"/>
      <c r="D338" s="19"/>
      <c r="E338" s="19"/>
      <c r="F338" s="45"/>
      <c r="G338" s="31"/>
      <c r="H338" s="45"/>
      <c r="I338" s="45"/>
      <c r="J338" s="32"/>
      <c r="K338" s="32"/>
    </row>
    <row r="339" spans="1:11">
      <c r="A339" s="41">
        <v>2280</v>
      </c>
      <c r="B339" s="17" t="s">
        <v>33</v>
      </c>
      <c r="C339" s="42">
        <v>6570</v>
      </c>
      <c r="D339" s="43">
        <v>0</v>
      </c>
      <c r="E339" s="43">
        <f>+F339/2</f>
        <v>1140</v>
      </c>
      <c r="F339" s="20">
        <v>2280</v>
      </c>
      <c r="G339" s="21">
        <f>F339*6.3%+F339</f>
        <v>2423.64</v>
      </c>
      <c r="H339" s="20">
        <f>G339*6.3%+G339</f>
        <v>2576.3293199999998</v>
      </c>
      <c r="I339" s="20">
        <f>H339*6.3%+H339</f>
        <v>2738.63806716</v>
      </c>
      <c r="J339" s="32"/>
      <c r="K339" s="32"/>
    </row>
    <row r="340" spans="1:11">
      <c r="A340" s="41">
        <f>+F340</f>
        <v>5000</v>
      </c>
      <c r="B340" s="17" t="s">
        <v>65</v>
      </c>
      <c r="C340" s="42">
        <v>7081</v>
      </c>
      <c r="D340" s="43">
        <v>0</v>
      </c>
      <c r="E340" s="43">
        <f>+F340/2</f>
        <v>2500</v>
      </c>
      <c r="F340" s="20">
        <v>5000</v>
      </c>
      <c r="G340" s="21">
        <f t="shared" ref="G340:I340" si="158">F340*6.3%+F340</f>
        <v>5315</v>
      </c>
      <c r="H340" s="20">
        <f t="shared" si="158"/>
        <v>5649.8450000000003</v>
      </c>
      <c r="I340" s="20">
        <f t="shared" si="158"/>
        <v>6005.7852350000003</v>
      </c>
      <c r="J340" s="32"/>
      <c r="K340" s="32"/>
    </row>
    <row r="341" spans="1:11">
      <c r="A341" s="16">
        <v>1410</v>
      </c>
      <c r="B341" s="17" t="s">
        <v>62</v>
      </c>
      <c r="C341" s="18">
        <v>6690</v>
      </c>
      <c r="D341" s="19">
        <v>0</v>
      </c>
      <c r="E341" s="19">
        <v>0</v>
      </c>
      <c r="F341" s="20">
        <f>+A341*0.1+A341</f>
        <v>1551</v>
      </c>
      <c r="G341" s="21">
        <f t="shared" ref="G341:I341" si="159">F341*6.3%+F341</f>
        <v>1648.713</v>
      </c>
      <c r="H341" s="20">
        <f t="shared" si="159"/>
        <v>1752.581919</v>
      </c>
      <c r="I341" s="20">
        <f t="shared" si="159"/>
        <v>1862.994579897</v>
      </c>
      <c r="J341" s="32"/>
      <c r="K341" s="32"/>
    </row>
    <row r="342" spans="1:11">
      <c r="A342" s="16">
        <v>32000</v>
      </c>
      <c r="B342" s="17" t="s">
        <v>94</v>
      </c>
      <c r="C342" s="18">
        <v>6790</v>
      </c>
      <c r="D342" s="19">
        <v>480</v>
      </c>
      <c r="E342" s="19">
        <f>+D342</f>
        <v>480</v>
      </c>
      <c r="F342" s="20">
        <v>0</v>
      </c>
      <c r="G342" s="21">
        <f t="shared" ref="G342:I342" si="160">F342*6.3%+F342</f>
        <v>0</v>
      </c>
      <c r="H342" s="20">
        <f t="shared" si="160"/>
        <v>0</v>
      </c>
      <c r="I342" s="20">
        <f t="shared" si="160"/>
        <v>0</v>
      </c>
      <c r="J342" s="32"/>
      <c r="K342" s="32"/>
    </row>
    <row r="343" spans="1:11">
      <c r="A343" s="16">
        <v>93000</v>
      </c>
      <c r="B343" s="17" t="s">
        <v>138</v>
      </c>
      <c r="C343" s="18">
        <v>7140</v>
      </c>
      <c r="D343" s="54">
        <v>60932.06</v>
      </c>
      <c r="E343" s="19">
        <f>+D343*2</f>
        <v>121864.12</v>
      </c>
      <c r="F343" s="20">
        <v>50000</v>
      </c>
      <c r="G343" s="21">
        <f>F343</f>
        <v>50000</v>
      </c>
      <c r="H343" s="20">
        <f t="shared" ref="H343:I343" si="161">G343*6.3%+G343</f>
        <v>53150</v>
      </c>
      <c r="I343" s="20">
        <f t="shared" si="161"/>
        <v>56498.45</v>
      </c>
      <c r="J343" s="32"/>
      <c r="K343" s="32"/>
    </row>
    <row r="344" spans="1:11">
      <c r="A344" s="16">
        <v>51767.88</v>
      </c>
      <c r="B344" s="17" t="s">
        <v>139</v>
      </c>
      <c r="C344" s="18">
        <v>7186</v>
      </c>
      <c r="D344" s="19">
        <v>14260.28</v>
      </c>
      <c r="E344" s="19">
        <f>+F344</f>
        <v>50000</v>
      </c>
      <c r="F344" s="20">
        <v>50000</v>
      </c>
      <c r="G344" s="21">
        <f>F344</f>
        <v>50000</v>
      </c>
      <c r="H344" s="20">
        <f t="shared" ref="H344:I344" si="162">G344*6.3%+G344</f>
        <v>53150</v>
      </c>
      <c r="I344" s="20">
        <f t="shared" si="162"/>
        <v>56498.45</v>
      </c>
      <c r="J344" s="32"/>
      <c r="K344" s="32"/>
    </row>
    <row r="345" spans="1:11">
      <c r="A345" s="16">
        <f>+F345</f>
        <v>88000</v>
      </c>
      <c r="B345" s="17" t="s">
        <v>140</v>
      </c>
      <c r="C345" s="18">
        <v>7187</v>
      </c>
      <c r="D345" s="19">
        <v>0</v>
      </c>
      <c r="E345" s="19">
        <v>0</v>
      </c>
      <c r="F345" s="20">
        <v>88000</v>
      </c>
      <c r="G345" s="21">
        <v>40000</v>
      </c>
      <c r="H345" s="20">
        <f t="shared" ref="H345:I345" si="163">G345*6.3%+G345</f>
        <v>42520</v>
      </c>
      <c r="I345" s="20">
        <f t="shared" si="163"/>
        <v>45198.76</v>
      </c>
      <c r="J345" s="32"/>
      <c r="K345" s="32"/>
    </row>
    <row r="346" spans="1:11">
      <c r="A346" s="16">
        <v>500000</v>
      </c>
      <c r="B346" s="17" t="s">
        <v>141</v>
      </c>
      <c r="C346" s="18">
        <v>7188</v>
      </c>
      <c r="D346" s="19">
        <v>109123.83</v>
      </c>
      <c r="E346" s="19">
        <f>+F346</f>
        <v>400000</v>
      </c>
      <c r="F346" s="20">
        <v>400000</v>
      </c>
      <c r="G346" s="21">
        <v>200000</v>
      </c>
      <c r="H346" s="20">
        <f t="shared" ref="H346:I346" si="164">G346*6.3%+G346</f>
        <v>212600</v>
      </c>
      <c r="I346" s="20">
        <f t="shared" si="164"/>
        <v>225993.8</v>
      </c>
      <c r="J346" s="32"/>
      <c r="K346" s="32"/>
    </row>
    <row r="347" spans="1:11">
      <c r="A347" s="30">
        <f>SUM(A339:A346)</f>
        <v>773457.88</v>
      </c>
      <c r="B347" s="17"/>
      <c r="C347" s="18"/>
      <c r="D347" s="36">
        <f t="shared" ref="D347:I347" si="165">SUM(D339:D346)</f>
        <v>184796.16999999998</v>
      </c>
      <c r="E347" s="30">
        <f t="shared" si="165"/>
        <v>575984.12</v>
      </c>
      <c r="F347" s="30">
        <f t="shared" si="165"/>
        <v>596831</v>
      </c>
      <c r="G347" s="31">
        <f t="shared" si="165"/>
        <v>349387.353</v>
      </c>
      <c r="H347" s="30">
        <f t="shared" si="165"/>
        <v>371398.75623900001</v>
      </c>
      <c r="I347" s="30">
        <f t="shared" si="165"/>
        <v>394796.87788205699</v>
      </c>
      <c r="J347" s="32"/>
      <c r="K347" s="32"/>
    </row>
    <row r="348" spans="1:11">
      <c r="A348" s="37"/>
      <c r="B348" s="17"/>
      <c r="C348" s="18"/>
      <c r="D348" s="19"/>
      <c r="E348" s="19"/>
      <c r="F348" s="30"/>
      <c r="G348" s="31"/>
      <c r="H348" s="30"/>
      <c r="I348" s="30"/>
      <c r="J348" s="32"/>
      <c r="K348" s="32"/>
    </row>
    <row r="349" spans="1:11">
      <c r="A349" s="37"/>
      <c r="B349" s="39" t="s">
        <v>41</v>
      </c>
      <c r="C349" s="18"/>
      <c r="D349" s="19"/>
      <c r="E349" s="19"/>
      <c r="F349" s="30"/>
      <c r="G349" s="31"/>
      <c r="H349" s="30"/>
      <c r="I349" s="30"/>
      <c r="J349" s="32"/>
      <c r="K349" s="32"/>
    </row>
    <row r="350" spans="1:11">
      <c r="A350" s="16">
        <v>20000</v>
      </c>
      <c r="B350" s="17" t="s">
        <v>142</v>
      </c>
      <c r="C350" s="18">
        <v>7260</v>
      </c>
      <c r="D350" s="19">
        <v>0</v>
      </c>
      <c r="E350" s="19">
        <f>+F350/2</f>
        <v>17500</v>
      </c>
      <c r="F350" s="34">
        <v>35000</v>
      </c>
      <c r="G350" s="21">
        <v>35000</v>
      </c>
      <c r="H350" s="34">
        <f>+G350</f>
        <v>35000</v>
      </c>
      <c r="I350" s="34">
        <f>+H350</f>
        <v>35000</v>
      </c>
      <c r="J350" s="32"/>
      <c r="K350" s="32"/>
    </row>
    <row r="351" spans="1:11">
      <c r="A351" s="45">
        <f>+A350</f>
        <v>20000</v>
      </c>
      <c r="B351" s="17"/>
      <c r="C351" s="18"/>
      <c r="D351" s="45">
        <f t="shared" ref="D351:E351" si="166">+D350</f>
        <v>0</v>
      </c>
      <c r="E351" s="45">
        <f t="shared" si="166"/>
        <v>17500</v>
      </c>
      <c r="F351" s="45">
        <f>+F350</f>
        <v>35000</v>
      </c>
      <c r="G351" s="31">
        <f>+G350</f>
        <v>35000</v>
      </c>
      <c r="H351" s="45">
        <f>+H350</f>
        <v>35000</v>
      </c>
      <c r="I351" s="45">
        <f>+I350</f>
        <v>35000</v>
      </c>
      <c r="J351" s="32"/>
      <c r="K351" s="32"/>
    </row>
    <row r="352" spans="1:11">
      <c r="A352" s="37"/>
      <c r="B352" s="44"/>
      <c r="C352" s="18"/>
      <c r="D352" s="19"/>
      <c r="E352" s="19"/>
      <c r="F352" s="30"/>
      <c r="G352" s="31"/>
      <c r="H352" s="30"/>
      <c r="I352" s="30"/>
      <c r="J352" s="32"/>
      <c r="K352" s="32"/>
    </row>
    <row r="353" spans="1:11">
      <c r="A353" s="16">
        <v>77300</v>
      </c>
      <c r="B353" s="39" t="s">
        <v>67</v>
      </c>
      <c r="C353" s="18">
        <v>7800</v>
      </c>
      <c r="D353" s="19">
        <v>1616.12</v>
      </c>
      <c r="E353" s="19">
        <f>+F353</f>
        <v>37606</v>
      </c>
      <c r="F353" s="34">
        <v>37606</v>
      </c>
      <c r="G353" s="21">
        <f>F353*6.3%+F353</f>
        <v>39975.178</v>
      </c>
      <c r="H353" s="20">
        <f>G353*6.3%+G353</f>
        <v>42493.614214000001</v>
      </c>
      <c r="I353" s="20">
        <f>H353*6.3%+H353</f>
        <v>45170.711909482001</v>
      </c>
      <c r="J353" s="32"/>
      <c r="K353" s="32"/>
    </row>
    <row r="354" spans="1:11">
      <c r="A354" s="45">
        <f>+A353</f>
        <v>77300</v>
      </c>
      <c r="B354" s="17" t="s">
        <v>68</v>
      </c>
      <c r="C354" s="18">
        <v>7800</v>
      </c>
      <c r="D354" s="49">
        <f t="shared" ref="D354:I354" si="167">+D353</f>
        <v>1616.12</v>
      </c>
      <c r="E354" s="45">
        <f t="shared" si="167"/>
        <v>37606</v>
      </c>
      <c r="F354" s="45">
        <f t="shared" si="167"/>
        <v>37606</v>
      </c>
      <c r="G354" s="31">
        <f t="shared" si="167"/>
        <v>39975.178</v>
      </c>
      <c r="H354" s="45">
        <f t="shared" si="167"/>
        <v>42493.614214000001</v>
      </c>
      <c r="I354" s="45">
        <f t="shared" si="167"/>
        <v>45170.711909482001</v>
      </c>
      <c r="J354" s="32"/>
      <c r="K354" s="32"/>
    </row>
    <row r="355" spans="1:11">
      <c r="A355" s="37"/>
      <c r="B355" s="44"/>
      <c r="C355" s="18"/>
      <c r="D355" s="19"/>
      <c r="E355" s="19"/>
      <c r="F355" s="45"/>
      <c r="G355" s="31"/>
      <c r="H355" s="45"/>
      <c r="I355" s="45"/>
      <c r="J355" s="32"/>
      <c r="K355" s="32"/>
    </row>
    <row r="356" spans="1:11">
      <c r="A356" s="45">
        <f>+A354+A351+A347+A337</f>
        <v>963268.88</v>
      </c>
      <c r="B356" s="44" t="s">
        <v>46</v>
      </c>
      <c r="C356" s="18"/>
      <c r="D356" s="45">
        <f t="shared" ref="D356:E356" si="168">+D354+D351+D347+D337</f>
        <v>266495.73</v>
      </c>
      <c r="E356" s="45">
        <f t="shared" si="168"/>
        <v>811641.63</v>
      </c>
      <c r="F356" s="45">
        <f>+F354+F351+F347+F337</f>
        <v>865675.56</v>
      </c>
      <c r="G356" s="31">
        <f>+G354+G351+G347+G337</f>
        <v>619899.81633000006</v>
      </c>
      <c r="H356" s="45">
        <f>+H354+H351+H347+H337</f>
        <v>660659.25046539004</v>
      </c>
      <c r="I356" s="45">
        <f>+I354+I351+I347+I337</f>
        <v>704311.12084495742</v>
      </c>
      <c r="J356" s="32"/>
      <c r="K356" s="32"/>
    </row>
    <row r="357" spans="1:11">
      <c r="A357" s="45">
        <f>+A328-A356</f>
        <v>-145924.88</v>
      </c>
      <c r="B357" s="44" t="s">
        <v>130</v>
      </c>
      <c r="C357" s="18"/>
      <c r="D357" s="45">
        <f t="shared" ref="D357:E357" si="169">+D328-D356</f>
        <v>22060.270000000019</v>
      </c>
      <c r="E357" s="45">
        <f t="shared" si="169"/>
        <v>311795.37</v>
      </c>
      <c r="F357" s="45">
        <f>+F328-F356</f>
        <v>257761.43999999994</v>
      </c>
      <c r="G357" s="31">
        <f t="shared" ref="G357:I357" si="170">+G328-G356</f>
        <v>315880.88366999989</v>
      </c>
      <c r="H357" s="45">
        <f t="shared" si="170"/>
        <v>368699.51953460998</v>
      </c>
      <c r="I357" s="45">
        <f t="shared" si="170"/>
        <v>427983.52615504269</v>
      </c>
      <c r="J357" s="32"/>
      <c r="K357" s="32"/>
    </row>
    <row r="358" spans="1:11">
      <c r="A358" s="37"/>
      <c r="B358" s="17"/>
      <c r="C358" s="18"/>
      <c r="D358" s="19"/>
      <c r="E358" s="19"/>
      <c r="F358" s="37"/>
      <c r="G358" s="50"/>
      <c r="H358" s="30"/>
      <c r="I358" s="30"/>
      <c r="J358" s="32"/>
      <c r="K358" s="32"/>
    </row>
    <row r="359" spans="1:11">
      <c r="A359" s="37" t="s">
        <v>72</v>
      </c>
      <c r="B359" s="17"/>
      <c r="C359" s="18"/>
      <c r="D359" s="18" t="s">
        <v>469</v>
      </c>
      <c r="E359" s="18" t="s">
        <v>473</v>
      </c>
      <c r="F359" s="18" t="s">
        <v>73</v>
      </c>
      <c r="G359" s="24" t="s">
        <v>73</v>
      </c>
      <c r="H359" s="22" t="s">
        <v>651</v>
      </c>
      <c r="I359" s="22" t="s">
        <v>651</v>
      </c>
      <c r="J359" s="32"/>
      <c r="K359" s="32"/>
    </row>
    <row r="360" spans="1:11">
      <c r="A360" s="37" t="s">
        <v>10</v>
      </c>
      <c r="B360" s="29" t="s">
        <v>143</v>
      </c>
      <c r="C360" s="18" t="str">
        <f>C2</f>
        <v>ABAKUS</v>
      </c>
      <c r="D360" s="18" t="s">
        <v>470</v>
      </c>
      <c r="E360" s="18" t="s">
        <v>10</v>
      </c>
      <c r="F360" s="18" t="s">
        <v>11</v>
      </c>
      <c r="G360" s="24" t="s">
        <v>498</v>
      </c>
      <c r="H360" s="22" t="s">
        <v>500</v>
      </c>
      <c r="I360" s="22" t="s">
        <v>498</v>
      </c>
      <c r="J360" s="32"/>
      <c r="K360" s="32"/>
    </row>
    <row r="361" spans="1:11">
      <c r="A361" s="37" t="s">
        <v>13</v>
      </c>
      <c r="B361" s="18" t="s">
        <v>144</v>
      </c>
      <c r="C361" s="18" t="str">
        <f>C3</f>
        <v>VOTES</v>
      </c>
      <c r="D361" s="18" t="s">
        <v>14</v>
      </c>
      <c r="E361" s="18" t="s">
        <v>14</v>
      </c>
      <c r="F361" s="18" t="s">
        <v>14</v>
      </c>
      <c r="G361" s="24" t="s">
        <v>15</v>
      </c>
      <c r="H361" s="22" t="s">
        <v>272</v>
      </c>
      <c r="I361" s="22" t="s">
        <v>285</v>
      </c>
      <c r="J361" s="32"/>
      <c r="K361" s="32"/>
    </row>
    <row r="362" spans="1:11">
      <c r="A362" s="38"/>
      <c r="B362" s="29" t="s">
        <v>16</v>
      </c>
      <c r="C362" s="29"/>
      <c r="D362" s="40"/>
      <c r="E362" s="40"/>
      <c r="F362" s="30"/>
      <c r="G362" s="31"/>
      <c r="H362" s="30"/>
      <c r="I362" s="30"/>
      <c r="J362" s="32"/>
      <c r="K362" s="32"/>
    </row>
    <row r="363" spans="1:11">
      <c r="A363" s="37"/>
      <c r="B363" s="17"/>
      <c r="C363" s="18"/>
      <c r="D363" s="19"/>
      <c r="E363" s="19"/>
      <c r="F363" s="30"/>
      <c r="G363" s="31"/>
      <c r="H363" s="30"/>
      <c r="I363" s="30"/>
      <c r="J363" s="32"/>
      <c r="K363" s="32"/>
    </row>
    <row r="364" spans="1:11">
      <c r="A364" s="55">
        <v>0</v>
      </c>
      <c r="B364" s="17" t="s">
        <v>145</v>
      </c>
      <c r="C364" s="42">
        <v>5320</v>
      </c>
      <c r="D364" s="43">
        <v>0</v>
      </c>
      <c r="E364" s="43">
        <f>F364</f>
        <v>768000</v>
      </c>
      <c r="F364" s="20">
        <v>768000</v>
      </c>
      <c r="G364" s="21">
        <f>768000+901000</f>
        <v>1669000</v>
      </c>
      <c r="H364" s="20">
        <v>768000</v>
      </c>
      <c r="I364" s="20">
        <v>768000</v>
      </c>
      <c r="J364" s="32"/>
      <c r="K364" s="32"/>
    </row>
    <row r="365" spans="1:11">
      <c r="A365" s="55">
        <v>0</v>
      </c>
      <c r="B365" s="53" t="s">
        <v>51</v>
      </c>
      <c r="C365" s="42">
        <v>5270</v>
      </c>
      <c r="D365" s="43"/>
      <c r="E365" s="43"/>
      <c r="F365" s="20">
        <v>0</v>
      </c>
      <c r="G365" s="21"/>
      <c r="H365" s="20"/>
      <c r="I365" s="20"/>
      <c r="J365" s="32"/>
      <c r="K365" s="32"/>
    </row>
    <row r="366" spans="1:11">
      <c r="A366" s="30">
        <f>SUM(A363:A365)</f>
        <v>0</v>
      </c>
      <c r="B366" s="17"/>
      <c r="C366" s="18"/>
      <c r="D366" s="30">
        <f t="shared" ref="D366:E366" si="171">SUM(D363:D365)</f>
        <v>0</v>
      </c>
      <c r="E366" s="30">
        <f t="shared" si="171"/>
        <v>768000</v>
      </c>
      <c r="F366" s="30">
        <f>SUM(F363:F365)</f>
        <v>768000</v>
      </c>
      <c r="G366" s="31">
        <f t="shared" ref="G366:I366" si="172">SUM(G363:G365)</f>
        <v>1669000</v>
      </c>
      <c r="H366" s="30">
        <f t="shared" si="172"/>
        <v>768000</v>
      </c>
      <c r="I366" s="30">
        <f t="shared" si="172"/>
        <v>768000</v>
      </c>
      <c r="J366" s="32"/>
      <c r="K366" s="32"/>
    </row>
    <row r="367" spans="1:11">
      <c r="A367" s="37"/>
      <c r="B367" s="17"/>
      <c r="C367" s="18"/>
      <c r="D367" s="19"/>
      <c r="E367" s="19"/>
      <c r="F367" s="30"/>
      <c r="G367" s="31"/>
      <c r="H367" s="30"/>
      <c r="I367" s="30"/>
      <c r="J367" s="32"/>
      <c r="K367" s="32"/>
    </row>
    <row r="368" spans="1:11">
      <c r="A368" s="37"/>
      <c r="B368" s="17"/>
      <c r="C368" s="18"/>
      <c r="D368" s="19"/>
      <c r="E368" s="19"/>
      <c r="F368" s="30"/>
      <c r="G368" s="31"/>
      <c r="H368" s="30"/>
      <c r="I368" s="30"/>
      <c r="J368" s="32"/>
      <c r="K368" s="32"/>
    </row>
    <row r="369" spans="1:11">
      <c r="A369" s="37"/>
      <c r="B369" s="29" t="s">
        <v>22</v>
      </c>
      <c r="C369" s="18"/>
      <c r="D369" s="19"/>
      <c r="E369" s="19"/>
      <c r="F369" s="30"/>
      <c r="G369" s="31"/>
      <c r="H369" s="30"/>
      <c r="I369" s="30"/>
      <c r="J369" s="32"/>
      <c r="K369" s="32"/>
    </row>
    <row r="370" spans="1:11">
      <c r="A370" s="56"/>
      <c r="B370" s="39" t="s">
        <v>23</v>
      </c>
      <c r="C370" s="29"/>
      <c r="D370" s="40"/>
      <c r="E370" s="40"/>
      <c r="F370" s="34"/>
      <c r="G370" s="21"/>
      <c r="H370" s="34"/>
      <c r="I370" s="34"/>
      <c r="J370" s="32"/>
      <c r="K370" s="32"/>
    </row>
    <row r="371" spans="1:11">
      <c r="A371" s="16"/>
      <c r="B371" s="17" t="s">
        <v>81</v>
      </c>
      <c r="C371" s="18">
        <v>6010</v>
      </c>
      <c r="D371" s="19">
        <v>358188.29</v>
      </c>
      <c r="E371" s="19">
        <f>+F371</f>
        <v>736516.82000000007</v>
      </c>
      <c r="F371" s="20">
        <f>+'[1]STAFF SALARIES SUMMARY'!C13+'[1]STAFF SALARIES SUMMARY'!D13</f>
        <v>736516.82000000007</v>
      </c>
      <c r="G371" s="21">
        <f>F371*8.3%+F371</f>
        <v>797647.71606000012</v>
      </c>
      <c r="H371" s="20">
        <f>G371*8.3%+G371</f>
        <v>863852.47649298015</v>
      </c>
      <c r="I371" s="20">
        <f>H371*8.3%+H371</f>
        <v>935552.23204189749</v>
      </c>
      <c r="J371" s="32"/>
      <c r="K371" s="32"/>
    </row>
    <row r="372" spans="1:11">
      <c r="A372" s="16"/>
      <c r="B372" s="17" t="s">
        <v>82</v>
      </c>
      <c r="C372" s="18">
        <v>6030</v>
      </c>
      <c r="D372" s="19">
        <v>2299.1999999999998</v>
      </c>
      <c r="E372" s="19">
        <f>+F372</f>
        <v>9316.48</v>
      </c>
      <c r="F372" s="34">
        <f>+'[1]STAFF SALARIES SUMMARY'!I13</f>
        <v>9316.48</v>
      </c>
      <c r="G372" s="21">
        <f t="shared" ref="G372:I372" si="173">F372*8.3%+F372</f>
        <v>10089.74784</v>
      </c>
      <c r="H372" s="20">
        <f t="shared" si="173"/>
        <v>10927.19691072</v>
      </c>
      <c r="I372" s="20">
        <f t="shared" si="173"/>
        <v>11834.15425430976</v>
      </c>
      <c r="J372" s="32"/>
      <c r="K372" s="32"/>
    </row>
    <row r="373" spans="1:11">
      <c r="A373" s="16"/>
      <c r="B373" s="17" t="s">
        <v>115</v>
      </c>
      <c r="C373" s="18">
        <v>6050</v>
      </c>
      <c r="D373" s="19">
        <v>41563.99</v>
      </c>
      <c r="E373" s="19">
        <f>+F373</f>
        <v>109736.51</v>
      </c>
      <c r="F373" s="20">
        <f>+'[1]STAFF SALARIES SUMMARY'!H13</f>
        <v>109736.51</v>
      </c>
      <c r="G373" s="21">
        <f t="shared" ref="G373:I373" si="174">F373*8.3%+F373</f>
        <v>118844.64032999999</v>
      </c>
      <c r="H373" s="20">
        <f t="shared" si="174"/>
        <v>128708.74547739</v>
      </c>
      <c r="I373" s="20">
        <f t="shared" si="174"/>
        <v>139391.57135201336</v>
      </c>
      <c r="J373" s="32"/>
      <c r="K373" s="32"/>
    </row>
    <row r="374" spans="1:11">
      <c r="A374" s="16"/>
      <c r="B374" s="17" t="s">
        <v>85</v>
      </c>
      <c r="C374" s="18">
        <v>6070</v>
      </c>
      <c r="D374" s="19">
        <v>4168.45</v>
      </c>
      <c r="E374" s="19">
        <f>+D374</f>
        <v>4168.45</v>
      </c>
      <c r="F374" s="20">
        <v>0</v>
      </c>
      <c r="G374" s="21">
        <f t="shared" ref="G374:I374" si="175">F374*8.3%+F374</f>
        <v>0</v>
      </c>
      <c r="H374" s="20">
        <f t="shared" si="175"/>
        <v>0</v>
      </c>
      <c r="I374" s="20">
        <f t="shared" si="175"/>
        <v>0</v>
      </c>
      <c r="J374" s="32"/>
      <c r="K374" s="32"/>
    </row>
    <row r="375" spans="1:11">
      <c r="A375" s="16"/>
      <c r="B375" s="17" t="s">
        <v>29</v>
      </c>
      <c r="C375" s="18">
        <v>6085</v>
      </c>
      <c r="D375" s="19">
        <v>4675.3</v>
      </c>
      <c r="E375" s="19">
        <f>+D375*2</f>
        <v>9350.6</v>
      </c>
      <c r="F375" s="20">
        <f>+'[1]STAFF SALARIES SUMMARY'!F13</f>
        <v>2499.56</v>
      </c>
      <c r="G375" s="21">
        <f t="shared" ref="G375:I375" si="176">F375*8.3%+F375</f>
        <v>2707.0234799999998</v>
      </c>
      <c r="H375" s="20">
        <f t="shared" si="176"/>
        <v>2931.7064288399997</v>
      </c>
      <c r="I375" s="20">
        <f t="shared" si="176"/>
        <v>3175.0380624337199</v>
      </c>
      <c r="J375" s="32"/>
      <c r="K375" s="32"/>
    </row>
    <row r="376" spans="1:11">
      <c r="A376" s="16"/>
      <c r="B376" s="17" t="s">
        <v>118</v>
      </c>
      <c r="C376" s="18">
        <v>6087</v>
      </c>
      <c r="D376" s="19">
        <v>3303.01</v>
      </c>
      <c r="E376" s="19">
        <f>+F376</f>
        <v>6798.62</v>
      </c>
      <c r="F376" s="20">
        <f>+'[1]STAFF SALARIES SUMMARY'!J13</f>
        <v>6798.62</v>
      </c>
      <c r="G376" s="21">
        <f t="shared" ref="G376:I376" si="177">F376*8.3%+F376</f>
        <v>7362.9054599999999</v>
      </c>
      <c r="H376" s="20">
        <f t="shared" si="177"/>
        <v>7974.0266131799999</v>
      </c>
      <c r="I376" s="20">
        <f t="shared" si="177"/>
        <v>8635.8708220739391</v>
      </c>
      <c r="J376" s="32"/>
      <c r="K376" s="32"/>
    </row>
    <row r="377" spans="1:11">
      <c r="A377" s="16"/>
      <c r="B377" s="17" t="s">
        <v>117</v>
      </c>
      <c r="C377" s="18">
        <v>6088</v>
      </c>
      <c r="D377" s="19">
        <v>135</v>
      </c>
      <c r="E377" s="19">
        <f>+F377</f>
        <v>442</v>
      </c>
      <c r="F377" s="20">
        <f>+'[1]STAFF SALARIES SUMMARY'!K13</f>
        <v>442</v>
      </c>
      <c r="G377" s="21">
        <f t="shared" ref="G377:I377" si="178">F377*8.3%+F377</f>
        <v>478.68599999999998</v>
      </c>
      <c r="H377" s="20">
        <f t="shared" si="178"/>
        <v>518.41693799999996</v>
      </c>
      <c r="I377" s="20">
        <f t="shared" si="178"/>
        <v>561.44554385399999</v>
      </c>
      <c r="J377" s="32"/>
      <c r="K377" s="32"/>
    </row>
    <row r="378" spans="1:11">
      <c r="A378" s="37"/>
      <c r="B378" s="17"/>
      <c r="C378" s="18"/>
      <c r="D378" s="36">
        <f t="shared" ref="D378:F378" si="179">SUM(D371:D377)</f>
        <v>414333.24</v>
      </c>
      <c r="E378" s="30">
        <f t="shared" si="179"/>
        <v>876329.48</v>
      </c>
      <c r="F378" s="30">
        <f t="shared" si="179"/>
        <v>865309.99000000011</v>
      </c>
      <c r="G378" s="31">
        <f>SUM(G371:G377)</f>
        <v>937130.71917000005</v>
      </c>
      <c r="H378" s="30">
        <f t="shared" ref="H378:I378" si="180">SUM(H371:H377)</f>
        <v>1014912.5688611101</v>
      </c>
      <c r="I378" s="30">
        <f t="shared" si="180"/>
        <v>1099150.3120765821</v>
      </c>
      <c r="J378" s="32"/>
      <c r="K378" s="32"/>
    </row>
    <row r="379" spans="1:11">
      <c r="A379" s="37"/>
      <c r="B379" s="17"/>
      <c r="C379" s="18"/>
      <c r="D379" s="19"/>
      <c r="E379" s="19"/>
      <c r="F379" s="30"/>
      <c r="G379" s="31"/>
      <c r="H379" s="30"/>
      <c r="I379" s="30"/>
      <c r="J379" s="32"/>
      <c r="K379" s="32"/>
    </row>
    <row r="380" spans="1:11">
      <c r="A380" s="38"/>
      <c r="B380" s="39" t="s">
        <v>30</v>
      </c>
      <c r="C380" s="29"/>
      <c r="D380" s="40"/>
      <c r="E380" s="40"/>
      <c r="F380" s="30"/>
      <c r="G380" s="31"/>
      <c r="H380" s="30"/>
      <c r="I380" s="30"/>
      <c r="J380" s="32"/>
      <c r="K380" s="32"/>
    </row>
    <row r="381" spans="1:11">
      <c r="A381" s="16"/>
      <c r="B381" s="17" t="s">
        <v>146</v>
      </c>
      <c r="C381" s="57">
        <v>6920</v>
      </c>
      <c r="D381" s="19">
        <v>9202.33</v>
      </c>
      <c r="E381" s="19">
        <f>+D381*2</f>
        <v>18404.66</v>
      </c>
      <c r="F381" s="34">
        <f>5405.84*2</f>
        <v>10811.68</v>
      </c>
      <c r="G381" s="21">
        <f>F381*6.3%+F381</f>
        <v>11492.815840000001</v>
      </c>
      <c r="H381" s="34">
        <f>G381*6.3%+G381</f>
        <v>12216.863237920001</v>
      </c>
      <c r="I381" s="34">
        <f>H381*6.3%+H381</f>
        <v>12986.525621908961</v>
      </c>
      <c r="J381" s="32"/>
      <c r="K381" s="32"/>
    </row>
    <row r="382" spans="1:11">
      <c r="A382" s="16"/>
      <c r="B382" s="17" t="s">
        <v>147</v>
      </c>
      <c r="C382" s="57">
        <v>6930</v>
      </c>
      <c r="D382" s="19"/>
      <c r="E382" s="19">
        <f>+F382/3</f>
        <v>35112</v>
      </c>
      <c r="F382" s="34">
        <f>52668*2</f>
        <v>105336</v>
      </c>
      <c r="G382" s="21">
        <f>E382</f>
        <v>35112</v>
      </c>
      <c r="H382" s="34">
        <f t="shared" ref="H382:I382" si="181">G382*6.3%+G382</f>
        <v>37324.055999999997</v>
      </c>
      <c r="I382" s="34">
        <f t="shared" si="181"/>
        <v>39675.471527999995</v>
      </c>
      <c r="J382" s="32"/>
      <c r="K382" s="32"/>
    </row>
    <row r="383" spans="1:11">
      <c r="A383" s="16"/>
      <c r="B383" s="17" t="s">
        <v>39</v>
      </c>
      <c r="C383" s="57">
        <v>6990</v>
      </c>
      <c r="D383" s="19">
        <v>5358.89</v>
      </c>
      <c r="E383" s="19">
        <f>+F383</f>
        <v>10154.58</v>
      </c>
      <c r="F383" s="34">
        <f>3384.86*3</f>
        <v>10154.58</v>
      </c>
      <c r="G383" s="21">
        <v>0</v>
      </c>
      <c r="H383" s="34">
        <f t="shared" ref="H383:I383" si="182">G383*6.3%+G383</f>
        <v>0</v>
      </c>
      <c r="I383" s="34">
        <f t="shared" si="182"/>
        <v>0</v>
      </c>
      <c r="J383" s="32"/>
      <c r="K383" s="32"/>
    </row>
    <row r="384" spans="1:11">
      <c r="A384" s="16"/>
      <c r="B384" s="17" t="s">
        <v>148</v>
      </c>
      <c r="C384" s="57">
        <v>7010</v>
      </c>
      <c r="D384" s="19">
        <v>8832.41</v>
      </c>
      <c r="E384" s="19">
        <f>+F384</f>
        <v>80000</v>
      </c>
      <c r="F384" s="34">
        <f>40000*2</f>
        <v>80000</v>
      </c>
      <c r="G384" s="21">
        <f t="shared" ref="G384:I384" si="183">F384*6.3%+F384</f>
        <v>85040</v>
      </c>
      <c r="H384" s="34">
        <f t="shared" si="183"/>
        <v>90397.52</v>
      </c>
      <c r="I384" s="34">
        <f t="shared" si="183"/>
        <v>96092.563760000005</v>
      </c>
      <c r="J384" s="32"/>
      <c r="K384" s="32"/>
    </row>
    <row r="385" spans="1:11">
      <c r="A385" s="16"/>
      <c r="B385" s="17" t="s">
        <v>63</v>
      </c>
      <c r="C385" s="57">
        <v>7020</v>
      </c>
      <c r="D385" s="19">
        <v>7936.81</v>
      </c>
      <c r="E385" s="19">
        <f>+D385*2</f>
        <v>15873.62</v>
      </c>
      <c r="F385" s="34">
        <f>4186*3</f>
        <v>12558</v>
      </c>
      <c r="G385" s="21">
        <f t="shared" ref="G385:I385" si="184">F385*6.3%+F385</f>
        <v>13349.154</v>
      </c>
      <c r="H385" s="34">
        <f t="shared" si="184"/>
        <v>14190.150702000001</v>
      </c>
      <c r="I385" s="34">
        <f t="shared" si="184"/>
        <v>15084.130196226</v>
      </c>
      <c r="J385" s="32"/>
      <c r="K385" s="32"/>
    </row>
    <row r="386" spans="1:11">
      <c r="A386" s="16"/>
      <c r="B386" s="17" t="s">
        <v>149</v>
      </c>
      <c r="C386" s="57">
        <v>7030</v>
      </c>
      <c r="D386" s="19">
        <v>0</v>
      </c>
      <c r="E386" s="19">
        <f>+F386/2</f>
        <v>686.16</v>
      </c>
      <c r="F386" s="34">
        <f>457.44*3</f>
        <v>1372.32</v>
      </c>
      <c r="G386" s="21">
        <f t="shared" ref="G386:I386" si="185">F386*6.3%+F386</f>
        <v>1458.7761599999999</v>
      </c>
      <c r="H386" s="34">
        <f t="shared" si="185"/>
        <v>1550.6790580799998</v>
      </c>
      <c r="I386" s="34">
        <f t="shared" si="185"/>
        <v>1648.3718387390397</v>
      </c>
      <c r="J386" s="32"/>
      <c r="K386" s="32"/>
    </row>
    <row r="387" spans="1:11">
      <c r="A387" s="16"/>
      <c r="B387" s="17" t="s">
        <v>316</v>
      </c>
      <c r="C387" s="57">
        <v>7090</v>
      </c>
      <c r="D387" s="19"/>
      <c r="E387" s="19"/>
      <c r="F387" s="34"/>
      <c r="G387" s="21">
        <f t="shared" ref="G387:I387" si="186">F387*6.3%+F387</f>
        <v>0</v>
      </c>
      <c r="H387" s="34">
        <f t="shared" si="186"/>
        <v>0</v>
      </c>
      <c r="I387" s="34">
        <f t="shared" si="186"/>
        <v>0</v>
      </c>
      <c r="J387" s="32"/>
      <c r="K387" s="32"/>
    </row>
    <row r="388" spans="1:11">
      <c r="A388" s="37"/>
      <c r="B388" s="17"/>
      <c r="C388" s="17"/>
      <c r="D388" s="18"/>
      <c r="E388" s="36">
        <f t="shared" ref="E388:F388" si="187">SUM(D381:D386)</f>
        <v>31330.440000000002</v>
      </c>
      <c r="F388" s="30">
        <f t="shared" si="187"/>
        <v>160231.01999999999</v>
      </c>
      <c r="G388" s="31">
        <f>SUM(G381:G387)</f>
        <v>146452.74600000001</v>
      </c>
      <c r="H388" s="30">
        <f>SUM(H381:H387)</f>
        <v>155679.26899799999</v>
      </c>
      <c r="I388" s="30">
        <f>SUM(I381:I387)</f>
        <v>165487.06294487399</v>
      </c>
      <c r="J388" s="30"/>
      <c r="K388" s="32"/>
    </row>
    <row r="389" spans="1:11">
      <c r="A389" s="37"/>
      <c r="B389" s="17"/>
      <c r="C389" s="18"/>
      <c r="D389" s="19"/>
      <c r="E389" s="19"/>
      <c r="F389" s="30"/>
      <c r="G389" s="31"/>
      <c r="H389" s="30"/>
      <c r="I389" s="30"/>
      <c r="J389" s="32"/>
      <c r="K389" s="32"/>
    </row>
    <row r="390" spans="1:11">
      <c r="A390" s="37"/>
      <c r="B390" s="17"/>
      <c r="C390" s="18"/>
      <c r="D390" s="19"/>
      <c r="E390" s="19"/>
      <c r="F390" s="30"/>
      <c r="G390" s="31"/>
      <c r="H390" s="30"/>
      <c r="I390" s="30"/>
      <c r="J390" s="32"/>
      <c r="K390" s="32"/>
    </row>
    <row r="391" spans="1:11">
      <c r="A391" s="16"/>
      <c r="B391" s="39" t="s">
        <v>41</v>
      </c>
      <c r="C391" s="18"/>
      <c r="D391" s="19"/>
      <c r="E391" s="19"/>
      <c r="F391" s="34"/>
      <c r="G391" s="21"/>
      <c r="H391" s="34"/>
      <c r="I391" s="34"/>
      <c r="J391" s="32"/>
      <c r="K391" s="32"/>
    </row>
    <row r="392" spans="1:11">
      <c r="A392" s="16"/>
      <c r="B392" s="17" t="s">
        <v>150</v>
      </c>
      <c r="C392" s="18">
        <v>7220</v>
      </c>
      <c r="D392" s="19">
        <v>0</v>
      </c>
      <c r="E392" s="19">
        <v>0</v>
      </c>
      <c r="F392" s="34">
        <v>10000</v>
      </c>
      <c r="G392" s="21">
        <v>10000</v>
      </c>
      <c r="H392" s="34">
        <v>10000</v>
      </c>
      <c r="I392" s="34">
        <v>10000</v>
      </c>
      <c r="J392" s="32"/>
      <c r="K392" s="32"/>
    </row>
    <row r="393" spans="1:11">
      <c r="A393" s="16"/>
      <c r="B393" s="17" t="s">
        <v>42</v>
      </c>
      <c r="C393" s="18">
        <v>7020</v>
      </c>
      <c r="D393" s="19">
        <v>0</v>
      </c>
      <c r="E393" s="19">
        <v>0</v>
      </c>
      <c r="F393" s="58">
        <v>0</v>
      </c>
      <c r="G393" s="59">
        <v>0</v>
      </c>
      <c r="H393" s="58">
        <v>0</v>
      </c>
      <c r="I393" s="58">
        <v>0</v>
      </c>
      <c r="J393" s="32"/>
      <c r="K393" s="32"/>
    </row>
    <row r="394" spans="1:11">
      <c r="A394" s="16"/>
      <c r="B394" s="17" t="s">
        <v>151</v>
      </c>
      <c r="C394" s="18">
        <v>7180</v>
      </c>
      <c r="D394" s="19"/>
      <c r="E394" s="19"/>
      <c r="F394" s="34">
        <v>0</v>
      </c>
      <c r="G394" s="21">
        <v>0</v>
      </c>
      <c r="H394" s="34">
        <v>0</v>
      </c>
      <c r="I394" s="34">
        <v>0</v>
      </c>
      <c r="J394" s="32"/>
      <c r="K394" s="32"/>
    </row>
    <row r="395" spans="1:11">
      <c r="A395" s="34">
        <f>SUM(A392:A394)</f>
        <v>0</v>
      </c>
      <c r="B395" s="17"/>
      <c r="C395" s="18"/>
      <c r="D395" s="30">
        <f t="shared" ref="D395:E395" si="188">SUM(D392:D394)</f>
        <v>0</v>
      </c>
      <c r="E395" s="30">
        <f t="shared" si="188"/>
        <v>0</v>
      </c>
      <c r="F395" s="30">
        <f>SUM(F392:F394)</f>
        <v>10000</v>
      </c>
      <c r="G395" s="31">
        <f>SUM(G392:G394)</f>
        <v>10000</v>
      </c>
      <c r="H395" s="30">
        <f t="shared" ref="H395:I395" si="189">SUM(H392:H394)</f>
        <v>10000</v>
      </c>
      <c r="I395" s="30">
        <f t="shared" si="189"/>
        <v>10000</v>
      </c>
      <c r="J395" s="32"/>
      <c r="K395" s="32"/>
    </row>
    <row r="396" spans="1:11">
      <c r="A396" s="37"/>
      <c r="B396" s="17"/>
      <c r="C396" s="18"/>
      <c r="D396" s="19"/>
      <c r="E396" s="19"/>
      <c r="F396" s="30"/>
      <c r="G396" s="31"/>
      <c r="H396" s="30"/>
      <c r="I396" s="30"/>
      <c r="J396" s="32"/>
      <c r="K396" s="32"/>
    </row>
    <row r="397" spans="1:11">
      <c r="A397" s="37"/>
      <c r="B397" s="39" t="s">
        <v>44</v>
      </c>
      <c r="C397" s="18"/>
      <c r="D397" s="19"/>
      <c r="E397" s="19"/>
      <c r="F397" s="30"/>
      <c r="G397" s="31"/>
      <c r="H397" s="30"/>
      <c r="I397" s="30"/>
      <c r="J397" s="32"/>
      <c r="K397" s="32"/>
    </row>
    <row r="398" spans="1:11">
      <c r="A398" s="16">
        <v>0</v>
      </c>
      <c r="B398" s="17" t="s">
        <v>45</v>
      </c>
      <c r="C398" s="18">
        <v>7800</v>
      </c>
      <c r="D398" s="19">
        <v>6658.64</v>
      </c>
      <c r="E398" s="19">
        <f>+F398</f>
        <v>19219</v>
      </c>
      <c r="F398" s="34">
        <v>19219</v>
      </c>
      <c r="G398" s="21">
        <f>F398*10%+F398</f>
        <v>21140.9</v>
      </c>
      <c r="H398" s="34">
        <f>G398*10%+G398</f>
        <v>23254.99</v>
      </c>
      <c r="I398" s="34">
        <f>H398*10%+H398</f>
        <v>25580.489000000001</v>
      </c>
      <c r="J398" s="32"/>
      <c r="K398" s="32"/>
    </row>
    <row r="399" spans="1:11">
      <c r="A399" s="30">
        <f>+A398</f>
        <v>0</v>
      </c>
      <c r="B399" s="17"/>
      <c r="C399" s="18"/>
      <c r="D399" s="36">
        <f t="shared" ref="D399:I399" si="190">+D398</f>
        <v>6658.64</v>
      </c>
      <c r="E399" s="30">
        <f t="shared" si="190"/>
        <v>19219</v>
      </c>
      <c r="F399" s="30">
        <f t="shared" si="190"/>
        <v>19219</v>
      </c>
      <c r="G399" s="31">
        <f t="shared" si="190"/>
        <v>21140.9</v>
      </c>
      <c r="H399" s="30">
        <f t="shared" si="190"/>
        <v>23254.99</v>
      </c>
      <c r="I399" s="30">
        <f t="shared" si="190"/>
        <v>25580.489000000001</v>
      </c>
      <c r="J399" s="32"/>
      <c r="K399" s="32"/>
    </row>
    <row r="400" spans="1:11">
      <c r="A400" s="37"/>
      <c r="B400" s="17"/>
      <c r="C400" s="18"/>
      <c r="D400" s="19"/>
      <c r="E400" s="19"/>
      <c r="F400" s="30"/>
      <c r="G400" s="31"/>
      <c r="H400" s="30"/>
      <c r="I400" s="30"/>
      <c r="J400" s="32"/>
      <c r="K400" s="32"/>
    </row>
    <row r="401" spans="1:11">
      <c r="A401" s="45">
        <f>+A399+A388+A378</f>
        <v>0</v>
      </c>
      <c r="B401" s="44" t="s">
        <v>46</v>
      </c>
      <c r="C401" s="18"/>
      <c r="D401" s="45">
        <f>+D399+E388+D378</f>
        <v>452322.32</v>
      </c>
      <c r="E401" s="45">
        <f>+E399+F388+E378</f>
        <v>1055779.5</v>
      </c>
      <c r="F401" s="45">
        <f>+F399+G388+F378</f>
        <v>1030981.7360000001</v>
      </c>
      <c r="G401" s="31">
        <f>+G399+G388+G378+G395</f>
        <v>1114724.3651700001</v>
      </c>
      <c r="H401" s="45">
        <f t="shared" ref="H401:I401" si="191">+H399+H388+H378+H395</f>
        <v>1203846.8278591102</v>
      </c>
      <c r="I401" s="45">
        <f t="shared" si="191"/>
        <v>1300217.8640214561</v>
      </c>
      <c r="J401" s="32"/>
      <c r="K401" s="32"/>
    </row>
    <row r="402" spans="1:11">
      <c r="A402" s="45">
        <f>+A366-A401</f>
        <v>0</v>
      </c>
      <c r="B402" s="44" t="s">
        <v>130</v>
      </c>
      <c r="C402" s="18"/>
      <c r="D402" s="45">
        <f>+D366-D401</f>
        <v>-452322.32</v>
      </c>
      <c r="E402" s="45">
        <f>+E366-E401</f>
        <v>-287779.5</v>
      </c>
      <c r="F402" s="45">
        <f>+F366-F401</f>
        <v>-262981.73600000015</v>
      </c>
      <c r="G402" s="31">
        <f t="shared" ref="G402:I402" si="192">+G366-G401</f>
        <v>554275.63482999988</v>
      </c>
      <c r="H402" s="45">
        <f t="shared" si="192"/>
        <v>-435846.8278591102</v>
      </c>
      <c r="I402" s="45">
        <f t="shared" si="192"/>
        <v>-532217.8640214561</v>
      </c>
      <c r="J402" s="32"/>
      <c r="K402" s="32"/>
    </row>
    <row r="403" spans="1:11">
      <c r="A403" s="45"/>
      <c r="B403" s="44"/>
      <c r="C403" s="18"/>
      <c r="D403" s="19"/>
      <c r="E403" s="19"/>
      <c r="F403" s="45"/>
      <c r="G403" s="31"/>
      <c r="H403" s="45"/>
      <c r="I403" s="45"/>
      <c r="J403" s="32"/>
      <c r="K403" s="32"/>
    </row>
    <row r="404" spans="1:11">
      <c r="A404" s="45"/>
      <c r="B404" s="44"/>
      <c r="C404" s="18"/>
      <c r="D404" s="19"/>
      <c r="E404" s="19"/>
      <c r="F404" s="45"/>
      <c r="G404" s="31"/>
      <c r="H404" s="45"/>
      <c r="I404" s="45"/>
      <c r="J404" s="32"/>
      <c r="K404" s="32"/>
    </row>
    <row r="405" spans="1:11">
      <c r="A405" s="37" t="s">
        <v>72</v>
      </c>
      <c r="B405" s="17"/>
      <c r="C405" s="18"/>
      <c r="D405" s="18" t="s">
        <v>469</v>
      </c>
      <c r="E405" s="18" t="s">
        <v>473</v>
      </c>
      <c r="F405" s="18" t="s">
        <v>73</v>
      </c>
      <c r="G405" s="24" t="s">
        <v>73</v>
      </c>
      <c r="H405" s="22" t="s">
        <v>651</v>
      </c>
      <c r="I405" s="22" t="s">
        <v>651</v>
      </c>
      <c r="J405" s="32"/>
      <c r="K405" s="32"/>
    </row>
    <row r="406" spans="1:11">
      <c r="A406" s="37" t="s">
        <v>10</v>
      </c>
      <c r="B406" s="17"/>
      <c r="C406" s="29" t="str">
        <f>C2</f>
        <v>ABAKUS</v>
      </c>
      <c r="D406" s="18" t="s">
        <v>470</v>
      </c>
      <c r="E406" s="18" t="s">
        <v>10</v>
      </c>
      <c r="F406" s="18" t="s">
        <v>11</v>
      </c>
      <c r="G406" s="24" t="s">
        <v>498</v>
      </c>
      <c r="H406" s="22" t="s">
        <v>500</v>
      </c>
      <c r="I406" s="22" t="s">
        <v>498</v>
      </c>
      <c r="J406" s="32"/>
      <c r="K406" s="32"/>
    </row>
    <row r="407" spans="1:11">
      <c r="A407" s="37" t="s">
        <v>13</v>
      </c>
      <c r="B407" s="29" t="s">
        <v>4</v>
      </c>
      <c r="C407" s="29" t="str">
        <f>C3</f>
        <v>VOTES</v>
      </c>
      <c r="D407" s="18" t="s">
        <v>14</v>
      </c>
      <c r="E407" s="18" t="s">
        <v>14</v>
      </c>
      <c r="F407" s="18" t="s">
        <v>14</v>
      </c>
      <c r="G407" s="24" t="s">
        <v>15</v>
      </c>
      <c r="H407" s="22" t="s">
        <v>272</v>
      </c>
      <c r="I407" s="22" t="s">
        <v>285</v>
      </c>
      <c r="J407" s="32"/>
      <c r="K407" s="32"/>
    </row>
    <row r="408" spans="1:11">
      <c r="A408" s="38"/>
      <c r="B408" s="18" t="s">
        <v>489</v>
      </c>
      <c r="C408" s="29"/>
      <c r="D408" s="40"/>
      <c r="E408" s="40"/>
      <c r="F408" s="30"/>
      <c r="G408" s="31"/>
      <c r="H408" s="30"/>
      <c r="I408" s="30"/>
      <c r="J408" s="32"/>
      <c r="K408" s="32"/>
    </row>
    <row r="409" spans="1:11">
      <c r="A409" s="37"/>
      <c r="B409" s="39" t="s">
        <v>16</v>
      </c>
      <c r="C409" s="18"/>
      <c r="D409" s="19"/>
      <c r="E409" s="19"/>
      <c r="F409" s="30"/>
      <c r="G409" s="31"/>
      <c r="H409" s="30"/>
      <c r="I409" s="30"/>
      <c r="J409" s="32"/>
      <c r="K409" s="32"/>
    </row>
    <row r="410" spans="1:11">
      <c r="A410" s="16">
        <v>54250</v>
      </c>
      <c r="B410" s="17" t="s">
        <v>152</v>
      </c>
      <c r="C410" s="18">
        <v>5250</v>
      </c>
      <c r="D410" s="19">
        <v>12681.07</v>
      </c>
      <c r="E410" s="19">
        <f>D410*2</f>
        <v>25362.14</v>
      </c>
      <c r="F410" s="20">
        <f>+A410*0.1+A410</f>
        <v>59675</v>
      </c>
      <c r="G410" s="21">
        <f t="shared" ref="G410:I411" si="193">+F410*10/100+F410</f>
        <v>65642.5</v>
      </c>
      <c r="H410" s="20">
        <f t="shared" si="193"/>
        <v>72206.75</v>
      </c>
      <c r="I410" s="20">
        <f t="shared" si="193"/>
        <v>79427.425000000003</v>
      </c>
      <c r="J410" s="32"/>
      <c r="K410" s="32"/>
    </row>
    <row r="411" spans="1:11">
      <c r="A411" s="16">
        <v>335160</v>
      </c>
      <c r="B411" s="17" t="s">
        <v>80</v>
      </c>
      <c r="C411" s="18">
        <v>5270</v>
      </c>
      <c r="D411" s="19">
        <v>149240</v>
      </c>
      <c r="E411" s="19">
        <f>+F411</f>
        <v>514000</v>
      </c>
      <c r="F411" s="20">
        <v>514000</v>
      </c>
      <c r="G411" s="21">
        <f>+F411*10/100+F411-100000</f>
        <v>465400</v>
      </c>
      <c r="H411" s="20">
        <f t="shared" si="193"/>
        <v>511940</v>
      </c>
      <c r="I411" s="20">
        <f t="shared" si="193"/>
        <v>563134</v>
      </c>
      <c r="J411" s="32"/>
      <c r="K411" s="32"/>
    </row>
    <row r="412" spans="1:11">
      <c r="A412" s="45">
        <f>SUM(A410:A411)</f>
        <v>389410</v>
      </c>
      <c r="B412" s="17"/>
      <c r="C412" s="18"/>
      <c r="D412" s="49">
        <f>SUM(D410:D411)</f>
        <v>161921.07</v>
      </c>
      <c r="E412" s="45">
        <f>SUM(E410:E411)</f>
        <v>539362.14</v>
      </c>
      <c r="F412" s="45">
        <f>SUM(F410:F411)</f>
        <v>573675</v>
      </c>
      <c r="G412" s="31">
        <f t="shared" ref="G412:I412" si="194">SUM(G410:G411)</f>
        <v>531042.5</v>
      </c>
      <c r="H412" s="45">
        <f t="shared" si="194"/>
        <v>584146.75</v>
      </c>
      <c r="I412" s="45">
        <f t="shared" si="194"/>
        <v>642561.42500000005</v>
      </c>
      <c r="J412" s="32"/>
      <c r="K412" s="32"/>
    </row>
    <row r="413" spans="1:11">
      <c r="A413" s="37"/>
      <c r="B413" s="17"/>
      <c r="C413" s="18"/>
      <c r="D413" s="19"/>
      <c r="E413" s="19"/>
      <c r="F413" s="45"/>
      <c r="G413" s="31"/>
      <c r="H413" s="45"/>
      <c r="I413" s="45"/>
      <c r="J413" s="32"/>
      <c r="K413" s="32"/>
    </row>
    <row r="414" spans="1:11">
      <c r="A414" s="38"/>
      <c r="B414" s="39" t="s">
        <v>23</v>
      </c>
      <c r="C414" s="29"/>
      <c r="D414" s="40"/>
      <c r="E414" s="40"/>
      <c r="F414" s="30"/>
      <c r="G414" s="31"/>
      <c r="H414" s="30"/>
      <c r="I414" s="30"/>
      <c r="J414" s="32"/>
      <c r="K414" s="32"/>
    </row>
    <row r="415" spans="1:11">
      <c r="A415" s="16">
        <v>330070</v>
      </c>
      <c r="B415" s="17" t="s">
        <v>81</v>
      </c>
      <c r="C415" s="18">
        <v>6010</v>
      </c>
      <c r="D415" s="19">
        <v>108065.95</v>
      </c>
      <c r="E415" s="19">
        <f>F415</f>
        <v>313822.95999999996</v>
      </c>
      <c r="F415" s="34">
        <f>+'[1]STAFF SALARIES SUMMARY'!C15+'[1]STAFF SALARIES SUMMARY'!D15</f>
        <v>313822.95999999996</v>
      </c>
      <c r="G415" s="21">
        <f>F415*8.3%+F415</f>
        <v>339870.26567999995</v>
      </c>
      <c r="H415" s="34">
        <f t="shared" ref="H415:I415" si="195">G415*8.3%+G415</f>
        <v>368079.49773143994</v>
      </c>
      <c r="I415" s="34">
        <f t="shared" si="195"/>
        <v>398630.09604314948</v>
      </c>
      <c r="J415" s="32"/>
      <c r="K415" s="32"/>
    </row>
    <row r="416" spans="1:11">
      <c r="A416" s="16">
        <v>0</v>
      </c>
      <c r="B416" s="17" t="s">
        <v>82</v>
      </c>
      <c r="C416" s="18">
        <v>6030</v>
      </c>
      <c r="D416" s="19">
        <v>0</v>
      </c>
      <c r="E416" s="19">
        <f>+F416/2</f>
        <v>3345.5</v>
      </c>
      <c r="F416" s="34">
        <f>+'[1]STAFF SALARIES SUMMARY'!I15</f>
        <v>6691</v>
      </c>
      <c r="G416" s="21">
        <f t="shared" ref="G416:I416" si="196">F416*8.3%+F416</f>
        <v>7246.3530000000001</v>
      </c>
      <c r="H416" s="34">
        <f t="shared" si="196"/>
        <v>7847.8002990000005</v>
      </c>
      <c r="I416" s="34">
        <f t="shared" si="196"/>
        <v>8499.1677238170014</v>
      </c>
      <c r="J416" s="32"/>
      <c r="K416" s="32"/>
    </row>
    <row r="417" spans="1:11">
      <c r="A417" s="16">
        <v>50000</v>
      </c>
      <c r="B417" s="17" t="s">
        <v>83</v>
      </c>
      <c r="C417" s="18">
        <v>6040</v>
      </c>
      <c r="D417" s="19">
        <v>18453</v>
      </c>
      <c r="E417" s="19">
        <f>F417</f>
        <v>48505.74</v>
      </c>
      <c r="F417" s="34">
        <f>+'[1]STAFF SALARIES SUMMARY'!G15</f>
        <v>48505.74</v>
      </c>
      <c r="G417" s="21">
        <f t="shared" ref="G417:I417" si="197">F417*8.3%+F417</f>
        <v>52531.716419999997</v>
      </c>
      <c r="H417" s="34">
        <f t="shared" si="197"/>
        <v>56891.848882859995</v>
      </c>
      <c r="I417" s="34">
        <f t="shared" si="197"/>
        <v>61613.872340137372</v>
      </c>
      <c r="J417" s="32"/>
      <c r="K417" s="32"/>
    </row>
    <row r="418" spans="1:11">
      <c r="A418" s="16">
        <v>54810</v>
      </c>
      <c r="B418" s="17" t="s">
        <v>115</v>
      </c>
      <c r="C418" s="18">
        <v>6050</v>
      </c>
      <c r="D418" s="19">
        <v>20110.689999999999</v>
      </c>
      <c r="E418" s="19">
        <f>+F418</f>
        <v>52305.1</v>
      </c>
      <c r="F418" s="34">
        <f>+'[1]STAFF SALARIES SUMMARY'!H15</f>
        <v>52305.1</v>
      </c>
      <c r="G418" s="21">
        <f t="shared" ref="G418:I418" si="198">F418*8.3%+F418</f>
        <v>56646.423299999995</v>
      </c>
      <c r="H418" s="34">
        <f t="shared" si="198"/>
        <v>61348.076433899994</v>
      </c>
      <c r="I418" s="34">
        <f t="shared" si="198"/>
        <v>66439.966777913694</v>
      </c>
      <c r="J418" s="32"/>
      <c r="K418" s="32"/>
    </row>
    <row r="419" spans="1:11">
      <c r="A419" s="16">
        <v>4500</v>
      </c>
      <c r="B419" s="17" t="s">
        <v>29</v>
      </c>
      <c r="C419" s="18">
        <v>6085</v>
      </c>
      <c r="D419" s="19">
        <v>0</v>
      </c>
      <c r="E419" s="19">
        <v>0</v>
      </c>
      <c r="F419" s="34">
        <f>+'[1]STAFF SALARIES SUMMARY'!F15</f>
        <v>0</v>
      </c>
      <c r="G419" s="21">
        <f t="shared" ref="G419:I419" si="199">F419*8.3%+F419</f>
        <v>0</v>
      </c>
      <c r="H419" s="34">
        <f t="shared" si="199"/>
        <v>0</v>
      </c>
      <c r="I419" s="34">
        <f t="shared" si="199"/>
        <v>0</v>
      </c>
      <c r="J419" s="32"/>
      <c r="K419" s="32"/>
    </row>
    <row r="420" spans="1:11">
      <c r="A420" s="16">
        <v>350</v>
      </c>
      <c r="B420" s="17" t="s">
        <v>86</v>
      </c>
      <c r="C420" s="18">
        <v>6088</v>
      </c>
      <c r="D420" s="19">
        <v>56.25</v>
      </c>
      <c r="E420" s="19">
        <f>+F420</f>
        <v>331.5</v>
      </c>
      <c r="F420" s="34">
        <f>+'[1]STAFF SALARIES SUMMARY'!K15</f>
        <v>331.5</v>
      </c>
      <c r="G420" s="21">
        <f t="shared" ref="G420:I420" si="200">F420*8.3%+F420</f>
        <v>359.0145</v>
      </c>
      <c r="H420" s="34">
        <f t="shared" si="200"/>
        <v>388.8127035</v>
      </c>
      <c r="I420" s="34">
        <f t="shared" si="200"/>
        <v>421.08415789050002</v>
      </c>
      <c r="J420" s="32"/>
      <c r="K420" s="32"/>
    </row>
    <row r="421" spans="1:11">
      <c r="A421" s="16">
        <v>3090</v>
      </c>
      <c r="B421" s="17" t="s">
        <v>61</v>
      </c>
      <c r="C421" s="18">
        <v>6087</v>
      </c>
      <c r="D421" s="19">
        <v>1280.73</v>
      </c>
      <c r="E421" s="19">
        <f>+F421</f>
        <v>3853.42</v>
      </c>
      <c r="F421" s="34">
        <f>+'[1]STAFF SALARIES SUMMARY'!J15</f>
        <v>3853.42</v>
      </c>
      <c r="G421" s="21">
        <f t="shared" ref="G421:I421" si="201">F421*8.3%+F421</f>
        <v>4173.2538599999998</v>
      </c>
      <c r="H421" s="34">
        <f t="shared" si="201"/>
        <v>4519.6339303799996</v>
      </c>
      <c r="I421" s="34">
        <f t="shared" si="201"/>
        <v>4894.7635466015399</v>
      </c>
      <c r="J421" s="32"/>
      <c r="K421" s="32"/>
    </row>
    <row r="422" spans="1:11">
      <c r="A422" s="45">
        <f>SUM(A415:A421)</f>
        <v>442820</v>
      </c>
      <c r="B422" s="39"/>
      <c r="C422" s="29"/>
      <c r="D422" s="49">
        <f t="shared" ref="D422:I422" si="202">SUM(D415:D421)</f>
        <v>147966.62</v>
      </c>
      <c r="E422" s="45">
        <f t="shared" si="202"/>
        <v>422164.21999999991</v>
      </c>
      <c r="F422" s="45">
        <f t="shared" si="202"/>
        <v>425509.71999999991</v>
      </c>
      <c r="G422" s="31">
        <f t="shared" si="202"/>
        <v>460827.02675999992</v>
      </c>
      <c r="H422" s="45">
        <f t="shared" si="202"/>
        <v>499075.66998107987</v>
      </c>
      <c r="I422" s="45">
        <f t="shared" si="202"/>
        <v>540498.95058950956</v>
      </c>
      <c r="J422" s="32"/>
      <c r="K422" s="32"/>
    </row>
    <row r="423" spans="1:11">
      <c r="A423" s="38"/>
      <c r="B423" s="39"/>
      <c r="C423" s="29"/>
      <c r="D423" s="40"/>
      <c r="E423" s="40"/>
      <c r="F423" s="45"/>
      <c r="G423" s="31"/>
      <c r="H423" s="45"/>
      <c r="I423" s="45"/>
      <c r="J423" s="32"/>
      <c r="K423" s="32"/>
    </row>
    <row r="424" spans="1:11">
      <c r="A424" s="38"/>
      <c r="B424" s="39" t="s">
        <v>30</v>
      </c>
      <c r="C424" s="29"/>
      <c r="D424" s="40"/>
      <c r="E424" s="40"/>
      <c r="F424" s="45"/>
      <c r="G424" s="31"/>
      <c r="H424" s="45"/>
      <c r="I424" s="45"/>
      <c r="J424" s="32"/>
      <c r="K424" s="32"/>
    </row>
    <row r="425" spans="1:11">
      <c r="A425" s="16">
        <v>0</v>
      </c>
      <c r="B425" s="17" t="s">
        <v>153</v>
      </c>
      <c r="C425" s="18">
        <v>6550</v>
      </c>
      <c r="D425" s="19">
        <v>0</v>
      </c>
      <c r="E425" s="19">
        <v>0</v>
      </c>
      <c r="F425" s="20">
        <v>0</v>
      </c>
      <c r="G425" s="21">
        <f>+F425*6.3/100+F425</f>
        <v>0</v>
      </c>
      <c r="H425" s="20">
        <f>+G425*6.3/100+G425</f>
        <v>0</v>
      </c>
      <c r="I425" s="20">
        <f>+H425*6.3/100+H425</f>
        <v>0</v>
      </c>
      <c r="J425" s="32"/>
      <c r="K425" s="32"/>
    </row>
    <row r="426" spans="1:11">
      <c r="A426" s="16">
        <v>5280</v>
      </c>
      <c r="B426" s="17" t="s">
        <v>154</v>
      </c>
      <c r="C426" s="18">
        <v>6570</v>
      </c>
      <c r="D426" s="19"/>
      <c r="E426" s="19">
        <f>+F426/2</f>
        <v>2640</v>
      </c>
      <c r="F426" s="20">
        <v>5280</v>
      </c>
      <c r="G426" s="21">
        <f t="shared" ref="G426:I426" si="203">+F426*6.3/100+F426</f>
        <v>5612.64</v>
      </c>
      <c r="H426" s="20">
        <f t="shared" si="203"/>
        <v>5966.23632</v>
      </c>
      <c r="I426" s="20">
        <f t="shared" si="203"/>
        <v>6342.10920816</v>
      </c>
      <c r="J426" s="32"/>
      <c r="K426" s="32"/>
    </row>
    <row r="427" spans="1:11">
      <c r="A427" s="16">
        <v>3310</v>
      </c>
      <c r="B427" s="17" t="s">
        <v>62</v>
      </c>
      <c r="C427" s="18">
        <v>6690</v>
      </c>
      <c r="D427" s="19"/>
      <c r="E427" s="19">
        <v>0</v>
      </c>
      <c r="F427" s="20">
        <f>+A427*0.1+A427</f>
        <v>3641</v>
      </c>
      <c r="G427" s="21">
        <f t="shared" ref="G427:I427" si="204">+F427*6.3/100+F427</f>
        <v>3870.3829999999998</v>
      </c>
      <c r="H427" s="20">
        <f t="shared" si="204"/>
        <v>4114.2171289999997</v>
      </c>
      <c r="I427" s="20">
        <f t="shared" si="204"/>
        <v>4373.4128081269992</v>
      </c>
      <c r="J427" s="32"/>
      <c r="K427" s="32"/>
    </row>
    <row r="428" spans="1:11">
      <c r="A428" s="16">
        <v>11000</v>
      </c>
      <c r="B428" s="17" t="s">
        <v>155</v>
      </c>
      <c r="C428" s="18">
        <v>6930</v>
      </c>
      <c r="D428" s="19"/>
      <c r="E428" s="19">
        <v>0</v>
      </c>
      <c r="F428" s="20">
        <v>6000</v>
      </c>
      <c r="G428" s="21">
        <f t="shared" ref="G428:I428" si="205">+F428*6.3/100+F428</f>
        <v>6378</v>
      </c>
      <c r="H428" s="20">
        <f t="shared" si="205"/>
        <v>6779.8140000000003</v>
      </c>
      <c r="I428" s="20">
        <f t="shared" si="205"/>
        <v>7206.942282</v>
      </c>
      <c r="J428" s="32"/>
      <c r="K428" s="32"/>
    </row>
    <row r="429" spans="1:11">
      <c r="A429" s="16">
        <v>3500</v>
      </c>
      <c r="B429" s="17" t="s">
        <v>39</v>
      </c>
      <c r="C429" s="18">
        <v>6990</v>
      </c>
      <c r="D429" s="19">
        <v>876.27</v>
      </c>
      <c r="E429" s="19">
        <f>+D429</f>
        <v>876.27</v>
      </c>
      <c r="F429" s="34">
        <v>0</v>
      </c>
      <c r="G429" s="21">
        <f t="shared" ref="G429:I429" si="206">+F429*6.3/100+F429</f>
        <v>0</v>
      </c>
      <c r="H429" s="20">
        <f t="shared" si="206"/>
        <v>0</v>
      </c>
      <c r="I429" s="20">
        <f t="shared" si="206"/>
        <v>0</v>
      </c>
      <c r="J429" s="32"/>
      <c r="K429" s="32"/>
    </row>
    <row r="430" spans="1:11">
      <c r="A430" s="16">
        <v>2000</v>
      </c>
      <c r="B430" s="17" t="s">
        <v>149</v>
      </c>
      <c r="C430" s="18">
        <v>7030</v>
      </c>
      <c r="D430" s="19">
        <v>260.04000000000002</v>
      </c>
      <c r="E430" s="19">
        <f>+F430/2</f>
        <v>1050</v>
      </c>
      <c r="F430" s="34">
        <v>2100</v>
      </c>
      <c r="G430" s="21">
        <f t="shared" ref="G430:I430" si="207">+F430*6.3/100+F430</f>
        <v>2232.3000000000002</v>
      </c>
      <c r="H430" s="20">
        <f t="shared" si="207"/>
        <v>2372.9349000000002</v>
      </c>
      <c r="I430" s="20">
        <f t="shared" si="207"/>
        <v>2522.4297987</v>
      </c>
      <c r="J430" s="32"/>
      <c r="K430" s="32"/>
    </row>
    <row r="431" spans="1:11">
      <c r="A431" s="16">
        <v>6357.2</v>
      </c>
      <c r="B431" s="17" t="s">
        <v>65</v>
      </c>
      <c r="C431" s="18">
        <v>7081</v>
      </c>
      <c r="D431" s="19">
        <v>11.25</v>
      </c>
      <c r="E431" s="19">
        <f>+F431/2</f>
        <v>1150</v>
      </c>
      <c r="F431" s="34">
        <v>2300</v>
      </c>
      <c r="G431" s="21">
        <f t="shared" ref="G431:I431" si="208">+F431*6.3/100+F431</f>
        <v>2444.9</v>
      </c>
      <c r="H431" s="20">
        <f t="shared" si="208"/>
        <v>2598.9286999999999</v>
      </c>
      <c r="I431" s="20">
        <f t="shared" si="208"/>
        <v>2762.6612080999998</v>
      </c>
      <c r="J431" s="32"/>
      <c r="K431" s="32"/>
    </row>
    <row r="432" spans="1:11">
      <c r="A432" s="45">
        <f>SUM(A425:A431)</f>
        <v>31447.200000000001</v>
      </c>
      <c r="B432" s="17"/>
      <c r="C432" s="18"/>
      <c r="D432" s="49">
        <f t="shared" ref="D432:F432" si="209">SUM(D425:D431)</f>
        <v>1147.56</v>
      </c>
      <c r="E432" s="45">
        <f t="shared" si="209"/>
        <v>5716.27</v>
      </c>
      <c r="F432" s="45">
        <f t="shared" si="209"/>
        <v>19321</v>
      </c>
      <c r="G432" s="31">
        <f>SUM(G425:G431)</f>
        <v>20538.223000000002</v>
      </c>
      <c r="H432" s="45">
        <f t="shared" ref="H432:I432" si="210">SUM(H425:H431)</f>
        <v>21832.131049</v>
      </c>
      <c r="I432" s="45">
        <f t="shared" si="210"/>
        <v>23207.555305086997</v>
      </c>
      <c r="J432" s="32"/>
      <c r="K432" s="32"/>
    </row>
    <row r="433" spans="1:11">
      <c r="A433" s="37"/>
      <c r="B433" s="39" t="s">
        <v>41</v>
      </c>
      <c r="C433" s="18"/>
      <c r="D433" s="19"/>
      <c r="E433" s="19"/>
      <c r="F433" s="30"/>
      <c r="G433" s="31"/>
      <c r="H433" s="30"/>
      <c r="I433" s="30"/>
      <c r="J433" s="32"/>
      <c r="K433" s="32"/>
    </row>
    <row r="434" spans="1:11">
      <c r="A434" s="16">
        <v>5700</v>
      </c>
      <c r="B434" s="17" t="s">
        <v>156</v>
      </c>
      <c r="C434" s="18">
        <v>7240</v>
      </c>
      <c r="D434" s="19">
        <v>0</v>
      </c>
      <c r="E434" s="19">
        <f>+F434/2</f>
        <v>3135</v>
      </c>
      <c r="F434" s="34">
        <f>+A434*0.1+A434</f>
        <v>6270</v>
      </c>
      <c r="G434" s="21">
        <v>0</v>
      </c>
      <c r="H434" s="20">
        <f t="shared" ref="H434:I434" si="211">+G434*6.3/100+G434</f>
        <v>0</v>
      </c>
      <c r="I434" s="20">
        <f t="shared" si="211"/>
        <v>0</v>
      </c>
      <c r="J434" s="32"/>
      <c r="K434" s="32"/>
    </row>
    <row r="435" spans="1:11">
      <c r="A435" s="16">
        <v>26300</v>
      </c>
      <c r="B435" s="17" t="s">
        <v>157</v>
      </c>
      <c r="C435" s="18">
        <v>7241</v>
      </c>
      <c r="D435" s="19">
        <v>0</v>
      </c>
      <c r="E435" s="19">
        <f>+F435</f>
        <v>26300</v>
      </c>
      <c r="F435" s="34">
        <v>26300</v>
      </c>
      <c r="G435" s="21">
        <f t="shared" ref="G435:I435" si="212">+F435*6.3/100+F435</f>
        <v>27956.9</v>
      </c>
      <c r="H435" s="45">
        <f t="shared" ref="D435:I436" si="213">SUM(H433:H434)</f>
        <v>0</v>
      </c>
      <c r="I435" s="20">
        <f t="shared" si="212"/>
        <v>0</v>
      </c>
      <c r="J435" s="32"/>
      <c r="K435" s="32"/>
    </row>
    <row r="436" spans="1:11">
      <c r="A436" s="45">
        <f>SUM(A434:A435)</f>
        <v>32000</v>
      </c>
      <c r="B436" s="17"/>
      <c r="C436" s="18"/>
      <c r="D436" s="49">
        <f t="shared" si="213"/>
        <v>0</v>
      </c>
      <c r="E436" s="45">
        <f t="shared" si="213"/>
        <v>29435</v>
      </c>
      <c r="F436" s="45">
        <f t="shared" si="213"/>
        <v>32570</v>
      </c>
      <c r="G436" s="31">
        <f t="shared" si="213"/>
        <v>27956.9</v>
      </c>
      <c r="H436" s="45">
        <f t="shared" si="213"/>
        <v>0</v>
      </c>
      <c r="I436" s="45">
        <f t="shared" si="213"/>
        <v>0</v>
      </c>
      <c r="J436" s="32"/>
      <c r="K436" s="32"/>
    </row>
    <row r="437" spans="1:11">
      <c r="A437" s="37"/>
      <c r="B437" s="17"/>
      <c r="C437" s="18"/>
      <c r="D437" s="19"/>
      <c r="E437" s="19"/>
      <c r="F437" s="30"/>
      <c r="G437" s="31"/>
      <c r="H437" s="30"/>
      <c r="I437" s="30"/>
      <c r="J437" s="32"/>
      <c r="K437" s="32"/>
    </row>
    <row r="438" spans="1:11">
      <c r="A438" s="45">
        <f>+A436+A432+A422</f>
        <v>506267.2</v>
      </c>
      <c r="B438" s="44" t="s">
        <v>46</v>
      </c>
      <c r="C438" s="18"/>
      <c r="D438" s="45">
        <f t="shared" ref="D438:E438" si="214">+D436+D432+D422</f>
        <v>149114.18</v>
      </c>
      <c r="E438" s="45">
        <f t="shared" si="214"/>
        <v>457315.48999999993</v>
      </c>
      <c r="F438" s="45">
        <f>+F436+F432+F422</f>
        <v>477400.71999999991</v>
      </c>
      <c r="G438" s="31">
        <f>+G436+G432+G422</f>
        <v>509322.14975999994</v>
      </c>
      <c r="H438" s="45">
        <f t="shared" ref="H438:I438" si="215">+H436+H432+H422</f>
        <v>520907.80103007989</v>
      </c>
      <c r="I438" s="45">
        <f t="shared" si="215"/>
        <v>563706.50589459657</v>
      </c>
      <c r="J438" s="32"/>
      <c r="K438" s="32"/>
    </row>
    <row r="439" spans="1:11">
      <c r="A439" s="45">
        <f>+A412-A438</f>
        <v>-116857.20000000001</v>
      </c>
      <c r="B439" s="44" t="s">
        <v>48</v>
      </c>
      <c r="C439" s="18"/>
      <c r="D439" s="45">
        <f t="shared" ref="D439:E439" si="216">+D412-D438</f>
        <v>12806.890000000014</v>
      </c>
      <c r="E439" s="45">
        <f t="shared" si="216"/>
        <v>82046.650000000081</v>
      </c>
      <c r="F439" s="45">
        <f>+F412-F438</f>
        <v>96274.280000000086</v>
      </c>
      <c r="G439" s="31">
        <f t="shared" ref="G439:I439" si="217">+G412-G438</f>
        <v>21720.350240000058</v>
      </c>
      <c r="H439" s="45">
        <f t="shared" si="217"/>
        <v>63238.948969920108</v>
      </c>
      <c r="I439" s="45">
        <f t="shared" si="217"/>
        <v>78854.919105403475</v>
      </c>
      <c r="J439" s="32"/>
      <c r="K439" s="32"/>
    </row>
    <row r="440" spans="1:11">
      <c r="A440" s="45"/>
      <c r="B440" s="44"/>
      <c r="C440" s="18"/>
      <c r="D440" s="19"/>
      <c r="E440" s="19"/>
      <c r="F440" s="45"/>
      <c r="G440" s="31"/>
      <c r="H440" s="45"/>
      <c r="I440" s="45"/>
      <c r="J440" s="32"/>
      <c r="K440" s="32"/>
    </row>
    <row r="441" spans="1:11">
      <c r="A441" s="37"/>
      <c r="B441" s="17"/>
      <c r="C441" s="18"/>
      <c r="D441" s="19"/>
      <c r="E441" s="19"/>
      <c r="F441" s="37"/>
      <c r="G441" s="50"/>
      <c r="H441" s="30"/>
      <c r="I441" s="30"/>
      <c r="J441" s="32"/>
      <c r="K441" s="32"/>
    </row>
    <row r="442" spans="1:11">
      <c r="A442" s="37" t="s">
        <v>72</v>
      </c>
      <c r="B442" s="17"/>
      <c r="C442" s="18"/>
      <c r="D442" s="18" t="s">
        <v>469</v>
      </c>
      <c r="E442" s="18" t="s">
        <v>473</v>
      </c>
      <c r="F442" s="18" t="s">
        <v>73</v>
      </c>
      <c r="G442" s="24" t="s">
        <v>73</v>
      </c>
      <c r="H442" s="22" t="s">
        <v>651</v>
      </c>
      <c r="I442" s="22" t="s">
        <v>651</v>
      </c>
      <c r="J442" s="32"/>
      <c r="K442" s="32"/>
    </row>
    <row r="443" spans="1:11">
      <c r="A443" s="37" t="s">
        <v>10</v>
      </c>
      <c r="B443" s="29" t="s">
        <v>5</v>
      </c>
      <c r="C443" s="18" t="str">
        <f>C2</f>
        <v>ABAKUS</v>
      </c>
      <c r="D443" s="18" t="s">
        <v>470</v>
      </c>
      <c r="E443" s="18" t="s">
        <v>10</v>
      </c>
      <c r="F443" s="18" t="s">
        <v>11</v>
      </c>
      <c r="G443" s="24" t="s">
        <v>498</v>
      </c>
      <c r="H443" s="22" t="s">
        <v>500</v>
      </c>
      <c r="I443" s="22" t="s">
        <v>498</v>
      </c>
      <c r="J443" s="32"/>
      <c r="K443" s="32"/>
    </row>
    <row r="444" spans="1:11">
      <c r="A444" s="37" t="s">
        <v>13</v>
      </c>
      <c r="B444" s="17"/>
      <c r="C444" s="18" t="str">
        <f>C3</f>
        <v>VOTES</v>
      </c>
      <c r="D444" s="18" t="s">
        <v>14</v>
      </c>
      <c r="E444" s="18" t="s">
        <v>14</v>
      </c>
      <c r="F444" s="18" t="s">
        <v>14</v>
      </c>
      <c r="G444" s="24" t="s">
        <v>15</v>
      </c>
      <c r="H444" s="22" t="s">
        <v>272</v>
      </c>
      <c r="I444" s="22" t="s">
        <v>285</v>
      </c>
      <c r="J444" s="32"/>
      <c r="K444" s="32"/>
    </row>
    <row r="445" spans="1:11">
      <c r="A445" s="37"/>
      <c r="B445" s="18" t="s">
        <v>494</v>
      </c>
      <c r="C445" s="18"/>
      <c r="D445" s="19"/>
      <c r="E445" s="19"/>
      <c r="F445" s="30"/>
      <c r="G445" s="31"/>
      <c r="H445" s="30"/>
      <c r="I445" s="30"/>
      <c r="J445" s="32"/>
      <c r="K445" s="32"/>
    </row>
    <row r="446" spans="1:11">
      <c r="A446" s="37"/>
      <c r="B446" s="17"/>
      <c r="C446" s="18"/>
      <c r="D446" s="19"/>
      <c r="E446" s="19"/>
      <c r="F446" s="30"/>
      <c r="G446" s="31"/>
      <c r="H446" s="30"/>
      <c r="I446" s="30"/>
      <c r="J446" s="32"/>
      <c r="K446" s="32"/>
    </row>
    <row r="447" spans="1:11">
      <c r="A447" s="38"/>
      <c r="B447" s="29" t="s">
        <v>16</v>
      </c>
      <c r="C447" s="29"/>
      <c r="D447" s="40"/>
      <c r="E447" s="40"/>
      <c r="F447" s="30"/>
      <c r="G447" s="31"/>
      <c r="H447" s="30"/>
      <c r="I447" s="30"/>
      <c r="J447" s="32"/>
      <c r="K447" s="32"/>
    </row>
    <row r="448" spans="1:11">
      <c r="A448" s="16">
        <v>3687.7</v>
      </c>
      <c r="B448" s="17" t="s">
        <v>158</v>
      </c>
      <c r="C448" s="18">
        <v>5260</v>
      </c>
      <c r="D448" s="19">
        <v>2023.96</v>
      </c>
      <c r="E448" s="19">
        <f>+F448</f>
        <v>4364.5200000000004</v>
      </c>
      <c r="F448" s="20">
        <f>2182.26*2</f>
        <v>4364.5200000000004</v>
      </c>
      <c r="G448" s="21">
        <f>+F448*0.1+F448</f>
        <v>4800.9720000000007</v>
      </c>
      <c r="H448" s="20">
        <f>+G448*0.1+G448</f>
        <v>5281.0692000000008</v>
      </c>
      <c r="I448" s="20">
        <f>+H448*0.1+H448</f>
        <v>5809.176120000001</v>
      </c>
      <c r="J448" s="32"/>
      <c r="K448" s="32"/>
    </row>
    <row r="449" spans="1:11">
      <c r="A449" s="16">
        <v>5760.88</v>
      </c>
      <c r="B449" s="17" t="s">
        <v>159</v>
      </c>
      <c r="C449" s="18">
        <v>5310</v>
      </c>
      <c r="D449" s="19">
        <v>3016.65</v>
      </c>
      <c r="E449" s="19">
        <f>+D449*2</f>
        <v>6033.3</v>
      </c>
      <c r="F449" s="34">
        <f>2985*2</f>
        <v>5970</v>
      </c>
      <c r="G449" s="21">
        <f t="shared" ref="G449:I449" si="218">+F449*0.1+F449</f>
        <v>6567</v>
      </c>
      <c r="H449" s="20">
        <f t="shared" si="218"/>
        <v>7223.7</v>
      </c>
      <c r="I449" s="20">
        <f t="shared" si="218"/>
        <v>7946.07</v>
      </c>
      <c r="J449" s="32"/>
      <c r="K449" s="32"/>
    </row>
    <row r="450" spans="1:11">
      <c r="A450" s="16">
        <v>5430</v>
      </c>
      <c r="B450" s="17" t="s">
        <v>160</v>
      </c>
      <c r="C450" s="18">
        <v>5490</v>
      </c>
      <c r="D450" s="19">
        <v>0</v>
      </c>
      <c r="E450" s="19">
        <f>+F450/2</f>
        <v>2715</v>
      </c>
      <c r="F450" s="34">
        <v>5430</v>
      </c>
      <c r="G450" s="21">
        <f t="shared" ref="G450:I450" si="219">+F450*0.1+F450</f>
        <v>5973</v>
      </c>
      <c r="H450" s="20">
        <f t="shared" si="219"/>
        <v>6570.3</v>
      </c>
      <c r="I450" s="20">
        <f t="shared" si="219"/>
        <v>7227.33</v>
      </c>
      <c r="J450" s="32"/>
      <c r="K450" s="32"/>
    </row>
    <row r="451" spans="1:11">
      <c r="A451" s="16">
        <v>767530</v>
      </c>
      <c r="B451" s="17" t="s">
        <v>51</v>
      </c>
      <c r="C451" s="18">
        <v>5270</v>
      </c>
      <c r="D451" s="19">
        <v>50424</v>
      </c>
      <c r="E451" s="19">
        <f>+F451</f>
        <v>844283</v>
      </c>
      <c r="F451" s="34">
        <f>+A451*0.1+A451</f>
        <v>844283</v>
      </c>
      <c r="G451" s="21">
        <f>+F451*0.1+F451-100000</f>
        <v>828711.3</v>
      </c>
      <c r="H451" s="20">
        <f t="shared" ref="H451:I451" si="220">+G451*0.1+G451</f>
        <v>911582.43</v>
      </c>
      <c r="I451" s="20">
        <f t="shared" si="220"/>
        <v>1002740.6730000001</v>
      </c>
      <c r="J451" s="32"/>
      <c r="K451" s="32"/>
    </row>
    <row r="452" spans="1:11">
      <c r="A452" s="16">
        <v>79800</v>
      </c>
      <c r="B452" s="17" t="s">
        <v>161</v>
      </c>
      <c r="C452" s="18">
        <v>5245</v>
      </c>
      <c r="D452" s="19">
        <v>90000</v>
      </c>
      <c r="E452" s="19">
        <f>+D452</f>
        <v>90000</v>
      </c>
      <c r="F452" s="34">
        <v>79800</v>
      </c>
      <c r="G452" s="21">
        <v>90000</v>
      </c>
      <c r="H452" s="20">
        <v>90000</v>
      </c>
      <c r="I452" s="20">
        <v>90000</v>
      </c>
      <c r="J452" s="32"/>
      <c r="K452" s="32"/>
    </row>
    <row r="453" spans="1:11">
      <c r="A453" s="45">
        <f>SUM(A448:A452)</f>
        <v>862208.58</v>
      </c>
      <c r="B453" s="17"/>
      <c r="C453" s="18"/>
      <c r="D453" s="49">
        <f>SUM(D448:D452)</f>
        <v>145464.60999999999</v>
      </c>
      <c r="E453" s="45">
        <f>SUM(E448:E452)</f>
        <v>947395.82</v>
      </c>
      <c r="F453" s="45">
        <f>SUM(F448:F452)</f>
        <v>939847.52</v>
      </c>
      <c r="G453" s="31">
        <f t="shared" ref="G453:I453" si="221">SUM(G448:G452)</f>
        <v>936052.272</v>
      </c>
      <c r="H453" s="45">
        <f t="shared" si="221"/>
        <v>1020657.4992000001</v>
      </c>
      <c r="I453" s="45">
        <f t="shared" si="221"/>
        <v>1113723.2491200001</v>
      </c>
      <c r="J453" s="32"/>
      <c r="K453" s="32"/>
    </row>
    <row r="454" spans="1:11">
      <c r="A454" s="37"/>
      <c r="B454" s="29" t="s">
        <v>22</v>
      </c>
      <c r="C454" s="18"/>
      <c r="D454" s="19"/>
      <c r="E454" s="19"/>
      <c r="F454" s="30"/>
      <c r="G454" s="31"/>
      <c r="H454" s="30"/>
      <c r="I454" s="30"/>
      <c r="J454" s="32"/>
      <c r="K454" s="32"/>
    </row>
    <row r="455" spans="1:11">
      <c r="A455" s="38"/>
      <c r="B455" s="39" t="s">
        <v>23</v>
      </c>
      <c r="C455" s="29"/>
      <c r="D455" s="40"/>
      <c r="E455" s="40"/>
      <c r="F455" s="30"/>
      <c r="G455" s="31"/>
      <c r="H455" s="30"/>
      <c r="I455" s="30"/>
      <c r="J455" s="32"/>
      <c r="K455" s="32"/>
    </row>
    <row r="456" spans="1:11">
      <c r="A456" s="37"/>
      <c r="B456" s="17"/>
      <c r="C456" s="18"/>
      <c r="D456" s="19"/>
      <c r="E456" s="19"/>
      <c r="F456" s="30"/>
      <c r="G456" s="31"/>
      <c r="H456" s="30"/>
      <c r="I456" s="30"/>
      <c r="J456" s="32"/>
      <c r="K456" s="32"/>
    </row>
    <row r="457" spans="1:11">
      <c r="A457" s="16">
        <v>418730</v>
      </c>
      <c r="B457" s="17" t="s">
        <v>162</v>
      </c>
      <c r="C457" s="18">
        <v>6010</v>
      </c>
      <c r="D457" s="19">
        <v>202387.82</v>
      </c>
      <c r="E457" s="20">
        <f>+'[1]STAFF SALARIES SUMMARY'!B14+'[1]STAFF SALARIES SUMMARY'!C14</f>
        <v>422494.07</v>
      </c>
      <c r="F457" s="20">
        <f>+'[1]STAFF SALARIES SUMMARY'!C14+'[1]STAFF SALARIES SUMMARY'!D14</f>
        <v>458549.63</v>
      </c>
      <c r="G457" s="21">
        <f>F457*8.3%+F457</f>
        <v>496609.24929000001</v>
      </c>
      <c r="H457" s="20">
        <f>G457*8.3%+G457</f>
        <v>537827.81698106998</v>
      </c>
      <c r="I457" s="20">
        <f>H457*8.3%+H457</f>
        <v>582467.52579049882</v>
      </c>
      <c r="J457" s="32"/>
      <c r="K457" s="32"/>
    </row>
    <row r="458" spans="1:11">
      <c r="A458" s="16">
        <v>36800</v>
      </c>
      <c r="B458" s="17" t="s">
        <v>163</v>
      </c>
      <c r="C458" s="18">
        <v>6030</v>
      </c>
      <c r="D458" s="19">
        <v>4744.8</v>
      </c>
      <c r="E458" s="19">
        <f>+D458*2</f>
        <v>9489.6</v>
      </c>
      <c r="F458" s="20">
        <f>+'[1]STAFF SALARIES SUMMARY'!I14</f>
        <v>0</v>
      </c>
      <c r="G458" s="21">
        <v>35000</v>
      </c>
      <c r="H458" s="20">
        <f t="shared" ref="H458:I458" si="222">G458*8.3%+G458</f>
        <v>37905</v>
      </c>
      <c r="I458" s="20">
        <f t="shared" si="222"/>
        <v>41051.114999999998</v>
      </c>
      <c r="J458" s="32"/>
      <c r="K458" s="32"/>
    </row>
    <row r="459" spans="1:11">
      <c r="A459" s="16">
        <v>10000</v>
      </c>
      <c r="B459" s="17" t="s">
        <v>83</v>
      </c>
      <c r="C459" s="18">
        <v>6040</v>
      </c>
      <c r="D459" s="19">
        <v>21935.13</v>
      </c>
      <c r="E459" s="19">
        <f>+D459*2</f>
        <v>43870.26</v>
      </c>
      <c r="F459" s="34">
        <f>+'[1]STAFF SALARIES SUMMARY'!G14</f>
        <v>40703.46</v>
      </c>
      <c r="G459" s="21">
        <f t="shared" ref="G459:I459" si="223">F459*8.3%+F459</f>
        <v>44081.847179999997</v>
      </c>
      <c r="H459" s="20">
        <f t="shared" si="223"/>
        <v>47740.640495939995</v>
      </c>
      <c r="I459" s="20">
        <f t="shared" si="223"/>
        <v>51703.113657103015</v>
      </c>
      <c r="J459" s="32"/>
      <c r="K459" s="32"/>
    </row>
    <row r="460" spans="1:11">
      <c r="A460" s="16">
        <v>69570</v>
      </c>
      <c r="B460" s="17" t="s">
        <v>115</v>
      </c>
      <c r="C460" s="18">
        <v>6050</v>
      </c>
      <c r="D460" s="19">
        <v>32522.11</v>
      </c>
      <c r="E460" s="19">
        <f>+F460</f>
        <v>74715.86</v>
      </c>
      <c r="F460" s="20">
        <f>+'[1]STAFF SALARIES SUMMARY'!H14</f>
        <v>74715.86</v>
      </c>
      <c r="G460" s="21">
        <f t="shared" ref="G460:I460" si="224">F460*8.3%+F460</f>
        <v>80917.276379999996</v>
      </c>
      <c r="H460" s="20">
        <f t="shared" si="224"/>
        <v>87633.410319539995</v>
      </c>
      <c r="I460" s="20">
        <f t="shared" si="224"/>
        <v>94906.98337606182</v>
      </c>
      <c r="J460" s="32"/>
      <c r="K460" s="32"/>
    </row>
    <row r="461" spans="1:11">
      <c r="A461" s="16">
        <v>2499.96</v>
      </c>
      <c r="B461" s="17" t="s">
        <v>29</v>
      </c>
      <c r="C461" s="18">
        <v>6085</v>
      </c>
      <c r="D461" s="19">
        <v>1532.96</v>
      </c>
      <c r="E461" s="19">
        <f>+D461*2</f>
        <v>3065.92</v>
      </c>
      <c r="F461" s="20">
        <v>1458.31</v>
      </c>
      <c r="G461" s="21">
        <f>+E461*8.3/100+E461</f>
        <v>3320.3913600000001</v>
      </c>
      <c r="H461" s="20">
        <f t="shared" ref="H461:I461" si="225">G461*8.3%+G461</f>
        <v>3595.9838428800003</v>
      </c>
      <c r="I461" s="20">
        <f t="shared" si="225"/>
        <v>3894.4505018390405</v>
      </c>
      <c r="J461" s="32"/>
      <c r="K461" s="32"/>
    </row>
    <row r="462" spans="1:11">
      <c r="A462" s="16">
        <v>250</v>
      </c>
      <c r="B462" s="17" t="s">
        <v>117</v>
      </c>
      <c r="C462" s="18">
        <v>6088</v>
      </c>
      <c r="D462" s="19">
        <v>75</v>
      </c>
      <c r="E462" s="19">
        <f>+F462</f>
        <v>276.25</v>
      </c>
      <c r="F462" s="20">
        <f>+'[1]STAFF SALARIES SUMMARY'!K14</f>
        <v>276.25</v>
      </c>
      <c r="G462" s="21">
        <f t="shared" ref="G462:I462" si="226">F462*8.3%+F462</f>
        <v>299.17874999999998</v>
      </c>
      <c r="H462" s="20">
        <f t="shared" si="226"/>
        <v>324.01058624999996</v>
      </c>
      <c r="I462" s="20">
        <f t="shared" si="226"/>
        <v>350.90346490874998</v>
      </c>
      <c r="J462" s="32"/>
      <c r="K462" s="32"/>
    </row>
    <row r="463" spans="1:11">
      <c r="A463" s="16">
        <v>3660</v>
      </c>
      <c r="B463" s="17" t="s">
        <v>61</v>
      </c>
      <c r="C463" s="18">
        <v>6087</v>
      </c>
      <c r="D463" s="19">
        <v>1783.5</v>
      </c>
      <c r="E463" s="19">
        <f>+F463</f>
        <v>4224.8900000000003</v>
      </c>
      <c r="F463" s="20">
        <f>+'[1]STAFF SALARIES SUMMARY'!J14</f>
        <v>4224.8900000000003</v>
      </c>
      <c r="G463" s="21">
        <f t="shared" ref="G463:I463" si="227">F463*8.3%+F463</f>
        <v>4575.5558700000001</v>
      </c>
      <c r="H463" s="20">
        <f t="shared" si="227"/>
        <v>4955.3270072100004</v>
      </c>
      <c r="I463" s="20">
        <f t="shared" si="227"/>
        <v>5366.6191488084305</v>
      </c>
      <c r="J463" s="32"/>
      <c r="K463" s="32"/>
    </row>
    <row r="464" spans="1:11">
      <c r="A464" s="45">
        <f>SUM(A457:A463)</f>
        <v>541509.96</v>
      </c>
      <c r="B464" s="17"/>
      <c r="C464" s="18"/>
      <c r="D464" s="49">
        <f t="shared" ref="D464:I464" si="228">SUM(D457:D463)</f>
        <v>264981.32</v>
      </c>
      <c r="E464" s="45">
        <f t="shared" si="228"/>
        <v>558136.85000000009</v>
      </c>
      <c r="F464" s="45">
        <f t="shared" si="228"/>
        <v>579928.40000000014</v>
      </c>
      <c r="G464" s="31">
        <f t="shared" si="228"/>
        <v>664803.49882999994</v>
      </c>
      <c r="H464" s="45">
        <f t="shared" si="228"/>
        <v>719982.18923288991</v>
      </c>
      <c r="I464" s="45">
        <f t="shared" si="228"/>
        <v>779740.7109392198</v>
      </c>
      <c r="J464" s="32"/>
      <c r="K464" s="32"/>
    </row>
    <row r="465" spans="1:11">
      <c r="A465" s="38"/>
      <c r="B465" s="39" t="s">
        <v>30</v>
      </c>
      <c r="C465" s="29"/>
      <c r="D465" s="40"/>
      <c r="E465" s="40"/>
      <c r="F465" s="30"/>
      <c r="G465" s="31"/>
      <c r="H465" s="30"/>
      <c r="I465" s="30"/>
      <c r="J465" s="32"/>
      <c r="K465" s="32"/>
    </row>
    <row r="466" spans="1:11">
      <c r="A466" s="16">
        <v>22210</v>
      </c>
      <c r="B466" s="17" t="s">
        <v>90</v>
      </c>
      <c r="C466" s="18">
        <v>6540</v>
      </c>
      <c r="D466" s="19">
        <v>9545.58</v>
      </c>
      <c r="E466" s="19">
        <f>+F466</f>
        <v>18115</v>
      </c>
      <c r="F466" s="20">
        <v>18115</v>
      </c>
      <c r="G466" s="21">
        <f>F466*6.3%+F466</f>
        <v>19256.244999999999</v>
      </c>
      <c r="H466" s="20">
        <f>G466*6.3%+G466</f>
        <v>20469.388435000001</v>
      </c>
      <c r="I466" s="20">
        <f>H466*6.3%+H466</f>
        <v>21758.959906405002</v>
      </c>
      <c r="J466" s="32"/>
      <c r="K466" s="32"/>
    </row>
    <row r="467" spans="1:11">
      <c r="A467" s="16">
        <v>6700</v>
      </c>
      <c r="B467" s="17" t="s">
        <v>164</v>
      </c>
      <c r="C467" s="18">
        <v>6570</v>
      </c>
      <c r="D467" s="19">
        <v>0</v>
      </c>
      <c r="E467" s="19">
        <f>+F467/2</f>
        <v>3350</v>
      </c>
      <c r="F467" s="20">
        <v>6700</v>
      </c>
      <c r="G467" s="21">
        <f>E467</f>
        <v>3350</v>
      </c>
      <c r="H467" s="20">
        <f t="shared" ref="H467:I467" si="229">G467*6.3%+G467</f>
        <v>3561.05</v>
      </c>
      <c r="I467" s="20">
        <f t="shared" si="229"/>
        <v>3785.39615</v>
      </c>
      <c r="J467" s="32"/>
      <c r="K467" s="32"/>
    </row>
    <row r="468" spans="1:11">
      <c r="A468" s="16">
        <v>750</v>
      </c>
      <c r="B468" s="17" t="s">
        <v>316</v>
      </c>
      <c r="C468" s="18"/>
      <c r="D468" s="19">
        <v>0</v>
      </c>
      <c r="E468" s="19">
        <v>0</v>
      </c>
      <c r="F468" s="20">
        <v>1000</v>
      </c>
      <c r="G468" s="21">
        <f>F468</f>
        <v>1000</v>
      </c>
      <c r="H468" s="20">
        <f t="shared" ref="H468:I468" si="230">G468*6.3%+G468</f>
        <v>1063</v>
      </c>
      <c r="I468" s="20">
        <f t="shared" si="230"/>
        <v>1129.9690000000001</v>
      </c>
      <c r="J468" s="32"/>
      <c r="K468" s="32"/>
    </row>
    <row r="469" spans="1:11">
      <c r="A469" s="16">
        <v>15000</v>
      </c>
      <c r="B469" s="17" t="s">
        <v>165</v>
      </c>
      <c r="C469" s="18">
        <v>6650</v>
      </c>
      <c r="D469" s="19">
        <v>2029.69</v>
      </c>
      <c r="E469" s="19">
        <f>+F469/2</f>
        <v>50000</v>
      </c>
      <c r="F469" s="20">
        <v>100000</v>
      </c>
      <c r="G469" s="21">
        <v>50000</v>
      </c>
      <c r="H469" s="20">
        <f t="shared" ref="H469:I469" si="231">G469*6.3%+G469</f>
        <v>53150</v>
      </c>
      <c r="I469" s="20">
        <f t="shared" si="231"/>
        <v>56498.45</v>
      </c>
      <c r="J469" s="32"/>
      <c r="K469" s="32"/>
    </row>
    <row r="470" spans="1:11">
      <c r="A470" s="16">
        <v>4190</v>
      </c>
      <c r="B470" s="17" t="s">
        <v>62</v>
      </c>
      <c r="C470" s="18">
        <v>6690</v>
      </c>
      <c r="D470" s="19">
        <v>0</v>
      </c>
      <c r="E470" s="19">
        <v>0</v>
      </c>
      <c r="F470" s="20">
        <f>+A470*0.1+A470</f>
        <v>4609</v>
      </c>
      <c r="G470" s="21">
        <f t="shared" ref="G470:I470" si="232">F470*6.3%+F470</f>
        <v>4899.3670000000002</v>
      </c>
      <c r="H470" s="20">
        <f t="shared" si="232"/>
        <v>5208.0271210000001</v>
      </c>
      <c r="I470" s="20">
        <f t="shared" si="232"/>
        <v>5536.1328296230004</v>
      </c>
      <c r="J470" s="32"/>
      <c r="K470" s="32"/>
    </row>
    <row r="471" spans="1:11">
      <c r="A471" s="16">
        <f>5304+2650</f>
        <v>7954</v>
      </c>
      <c r="B471" s="17" t="s">
        <v>166</v>
      </c>
      <c r="C471" s="57">
        <v>6700</v>
      </c>
      <c r="D471" s="19">
        <v>2927.39</v>
      </c>
      <c r="E471" s="19">
        <f>F471</f>
        <v>5300</v>
      </c>
      <c r="F471" s="34">
        <v>5300</v>
      </c>
      <c r="G471" s="21">
        <f t="shared" ref="G471:I471" si="233">F471*6.3%+F471</f>
        <v>5633.9</v>
      </c>
      <c r="H471" s="20">
        <f t="shared" si="233"/>
        <v>5988.8356999999996</v>
      </c>
      <c r="I471" s="20">
        <f t="shared" si="233"/>
        <v>6366.1323490999994</v>
      </c>
      <c r="J471" s="32"/>
      <c r="K471" s="32"/>
    </row>
    <row r="472" spans="1:11">
      <c r="A472" s="16">
        <v>26300</v>
      </c>
      <c r="B472" s="17" t="s">
        <v>94</v>
      </c>
      <c r="C472" s="18">
        <v>6790</v>
      </c>
      <c r="D472" s="19">
        <v>-1790</v>
      </c>
      <c r="E472" s="19">
        <v>0</v>
      </c>
      <c r="F472" s="20">
        <v>0</v>
      </c>
      <c r="G472" s="21">
        <v>5000</v>
      </c>
      <c r="H472" s="20">
        <f t="shared" ref="H472:I472" si="234">G472*6.3%+G472</f>
        <v>5315</v>
      </c>
      <c r="I472" s="20">
        <f t="shared" si="234"/>
        <v>5649.8450000000003</v>
      </c>
      <c r="J472" s="32"/>
      <c r="K472" s="32"/>
    </row>
    <row r="473" spans="1:11">
      <c r="A473" s="16">
        <f t="shared" ref="A473" si="235">+F473</f>
        <v>35000</v>
      </c>
      <c r="B473" s="17" t="s">
        <v>167</v>
      </c>
      <c r="C473" s="18">
        <v>6920</v>
      </c>
      <c r="D473" s="19">
        <v>16967.849999999999</v>
      </c>
      <c r="E473" s="19">
        <f>F473</f>
        <v>35000</v>
      </c>
      <c r="F473" s="20">
        <v>35000</v>
      </c>
      <c r="G473" s="21">
        <f>F473</f>
        <v>35000</v>
      </c>
      <c r="H473" s="20">
        <f t="shared" ref="H473:I473" si="236">G473*6.3%+G473</f>
        <v>37205</v>
      </c>
      <c r="I473" s="20">
        <f t="shared" si="236"/>
        <v>39548.915000000001</v>
      </c>
      <c r="J473" s="32"/>
      <c r="K473" s="32"/>
    </row>
    <row r="474" spans="1:11">
      <c r="A474" s="16">
        <v>22000</v>
      </c>
      <c r="B474" s="17" t="s">
        <v>155</v>
      </c>
      <c r="C474" s="18">
        <v>6930</v>
      </c>
      <c r="D474" s="19">
        <v>0</v>
      </c>
      <c r="E474" s="19">
        <f>F474/2</f>
        <v>5000</v>
      </c>
      <c r="F474" s="20">
        <v>10000</v>
      </c>
      <c r="G474" s="21">
        <f>E474</f>
        <v>5000</v>
      </c>
      <c r="H474" s="20">
        <f t="shared" ref="H474:I474" si="237">G474*6.3%+G474</f>
        <v>5315</v>
      </c>
      <c r="I474" s="20">
        <f t="shared" si="237"/>
        <v>5649.8450000000003</v>
      </c>
      <c r="J474" s="32"/>
      <c r="K474" s="32"/>
    </row>
    <row r="475" spans="1:11">
      <c r="A475" s="16">
        <v>5300</v>
      </c>
      <c r="B475" s="17" t="s">
        <v>168</v>
      </c>
      <c r="C475" s="18">
        <v>6970</v>
      </c>
      <c r="D475" s="19">
        <v>760</v>
      </c>
      <c r="E475" s="19">
        <f>D475</f>
        <v>760</v>
      </c>
      <c r="F475" s="20">
        <v>0</v>
      </c>
      <c r="G475" s="21">
        <f t="shared" ref="G475:I475" si="238">F475*6.3%+F475</f>
        <v>0</v>
      </c>
      <c r="H475" s="20">
        <f t="shared" si="238"/>
        <v>0</v>
      </c>
      <c r="I475" s="20">
        <f t="shared" si="238"/>
        <v>0</v>
      </c>
      <c r="J475" s="32"/>
      <c r="K475" s="32"/>
    </row>
    <row r="476" spans="1:11">
      <c r="A476" s="16">
        <v>9000</v>
      </c>
      <c r="B476" s="17" t="s">
        <v>169</v>
      </c>
      <c r="C476" s="18">
        <v>6980</v>
      </c>
      <c r="D476" s="19">
        <v>4653.95</v>
      </c>
      <c r="E476" s="19">
        <f>F476</f>
        <v>9000</v>
      </c>
      <c r="F476" s="20">
        <v>9000</v>
      </c>
      <c r="G476" s="21">
        <f>E476</f>
        <v>9000</v>
      </c>
      <c r="H476" s="20">
        <f t="shared" ref="H476:I476" si="239">G476*6.3%+G476</f>
        <v>9567</v>
      </c>
      <c r="I476" s="20">
        <f t="shared" si="239"/>
        <v>10169.721</v>
      </c>
      <c r="J476" s="32"/>
      <c r="K476" s="32"/>
    </row>
    <row r="477" spans="1:11">
      <c r="A477" s="16">
        <v>7000</v>
      </c>
      <c r="B477" s="17" t="s">
        <v>39</v>
      </c>
      <c r="C477" s="18">
        <v>6990</v>
      </c>
      <c r="D477" s="19">
        <v>2213.6799999999998</v>
      </c>
      <c r="E477" s="19">
        <f>F477</f>
        <v>3500</v>
      </c>
      <c r="F477" s="20">
        <v>3500</v>
      </c>
      <c r="G477" s="21">
        <v>0</v>
      </c>
      <c r="H477" s="20">
        <f t="shared" ref="H477:I477" si="240">G477*6.3%+G477</f>
        <v>0</v>
      </c>
      <c r="I477" s="20">
        <f t="shared" si="240"/>
        <v>0</v>
      </c>
      <c r="J477" s="32"/>
      <c r="K477" s="32"/>
    </row>
    <row r="478" spans="1:11">
      <c r="A478" s="16">
        <v>15545.95</v>
      </c>
      <c r="B478" s="17" t="s">
        <v>63</v>
      </c>
      <c r="C478" s="18">
        <v>7020</v>
      </c>
      <c r="D478" s="19">
        <v>10390.790000000001</v>
      </c>
      <c r="E478" s="19">
        <f>D478*2</f>
        <v>20781.580000000002</v>
      </c>
      <c r="F478" s="20">
        <f>+A478</f>
        <v>15545.95</v>
      </c>
      <c r="G478" s="21">
        <f t="shared" ref="G478:I478" si="241">F478*6.3%+F478</f>
        <v>16525.344850000001</v>
      </c>
      <c r="H478" s="20">
        <f t="shared" si="241"/>
        <v>17566.441575550001</v>
      </c>
      <c r="I478" s="20">
        <f t="shared" si="241"/>
        <v>18673.12739480965</v>
      </c>
      <c r="J478" s="32"/>
      <c r="K478" s="32"/>
    </row>
    <row r="479" spans="1:11">
      <c r="A479" s="16">
        <v>7900</v>
      </c>
      <c r="B479" s="17" t="s">
        <v>40</v>
      </c>
      <c r="C479" s="18">
        <v>7070</v>
      </c>
      <c r="D479" s="19">
        <v>1557.68</v>
      </c>
      <c r="E479" s="19">
        <f>+F479</f>
        <v>3950</v>
      </c>
      <c r="F479" s="20">
        <f>+A479/2</f>
        <v>3950</v>
      </c>
      <c r="G479" s="21">
        <f t="shared" ref="G479:I479" si="242">F479*6.3%+F479</f>
        <v>4198.8500000000004</v>
      </c>
      <c r="H479" s="20">
        <f t="shared" si="242"/>
        <v>4463.3775500000002</v>
      </c>
      <c r="I479" s="20">
        <f t="shared" si="242"/>
        <v>4744.5703356499998</v>
      </c>
      <c r="J479" s="32"/>
      <c r="K479" s="32"/>
    </row>
    <row r="480" spans="1:11">
      <c r="A480" s="16">
        <v>21250</v>
      </c>
      <c r="B480" s="17" t="s">
        <v>170</v>
      </c>
      <c r="C480" s="18">
        <v>7075</v>
      </c>
      <c r="D480" s="19">
        <v>9163.85</v>
      </c>
      <c r="E480" s="19">
        <f>+F480</f>
        <v>21250</v>
      </c>
      <c r="F480" s="20">
        <v>21250</v>
      </c>
      <c r="G480" s="21">
        <v>0</v>
      </c>
      <c r="H480" s="20">
        <f t="shared" ref="H480:I480" si="243">G480*6.3%+G480</f>
        <v>0</v>
      </c>
      <c r="I480" s="20">
        <f t="shared" si="243"/>
        <v>0</v>
      </c>
      <c r="J480" s="32"/>
      <c r="K480" s="32"/>
    </row>
    <row r="481" spans="1:11">
      <c r="A481" s="16">
        <f>+F481</f>
        <v>14600</v>
      </c>
      <c r="B481" s="17" t="s">
        <v>65</v>
      </c>
      <c r="C481" s="18">
        <v>7081</v>
      </c>
      <c r="D481" s="19">
        <v>1264</v>
      </c>
      <c r="E481" s="19">
        <f>+F481/2</f>
        <v>7300</v>
      </c>
      <c r="F481" s="20">
        <v>14600</v>
      </c>
      <c r="G481" s="21">
        <f t="shared" ref="G481:I481" si="244">F481*6.3%+F481</f>
        <v>15519.8</v>
      </c>
      <c r="H481" s="20">
        <f t="shared" si="244"/>
        <v>16497.547399999999</v>
      </c>
      <c r="I481" s="20">
        <f t="shared" si="244"/>
        <v>17536.892886199999</v>
      </c>
      <c r="J481" s="32"/>
      <c r="K481" s="32"/>
    </row>
    <row r="482" spans="1:11">
      <c r="A482" s="45">
        <f>SUM(A466:A481)</f>
        <v>220699.95</v>
      </c>
      <c r="B482" s="17"/>
      <c r="C482" s="18"/>
      <c r="D482" s="49">
        <f t="shared" ref="D482:I482" si="245">SUM(D466:D481)</f>
        <v>59684.46</v>
      </c>
      <c r="E482" s="45">
        <f t="shared" si="245"/>
        <v>183306.58000000002</v>
      </c>
      <c r="F482" s="45">
        <f t="shared" si="245"/>
        <v>248569.95</v>
      </c>
      <c r="G482" s="31">
        <f t="shared" si="245"/>
        <v>174383.50684999998</v>
      </c>
      <c r="H482" s="45">
        <f t="shared" si="245"/>
        <v>185369.66778155003</v>
      </c>
      <c r="I482" s="45">
        <f t="shared" si="245"/>
        <v>197047.95685178763</v>
      </c>
      <c r="J482" s="32"/>
      <c r="K482" s="32"/>
    </row>
    <row r="483" spans="1:11">
      <c r="A483" s="37"/>
      <c r="B483" s="17"/>
      <c r="C483" s="18"/>
      <c r="D483" s="19"/>
      <c r="E483" s="19"/>
      <c r="F483" s="30"/>
      <c r="G483" s="31"/>
      <c r="H483" s="30"/>
      <c r="I483" s="30"/>
      <c r="J483" s="32"/>
      <c r="K483" s="32"/>
    </row>
    <row r="484" spans="1:11">
      <c r="A484" s="38"/>
      <c r="B484" s="39" t="s">
        <v>69</v>
      </c>
      <c r="C484" s="29"/>
      <c r="D484" s="40"/>
      <c r="E484" s="40"/>
      <c r="F484" s="30"/>
      <c r="G484" s="31"/>
      <c r="H484" s="30"/>
      <c r="I484" s="30"/>
      <c r="J484" s="32"/>
      <c r="K484" s="32"/>
    </row>
    <row r="485" spans="1:11">
      <c r="A485" s="37">
        <f>+F485</f>
        <v>6500</v>
      </c>
      <c r="B485" s="17" t="s">
        <v>171</v>
      </c>
      <c r="C485" s="18">
        <v>7260</v>
      </c>
      <c r="D485" s="19">
        <v>1866.41</v>
      </c>
      <c r="E485" s="19">
        <f>+F485/2</f>
        <v>3250</v>
      </c>
      <c r="F485" s="20">
        <v>6500</v>
      </c>
      <c r="G485" s="21">
        <f>+E485*6.3/100+E485</f>
        <v>3454.75</v>
      </c>
      <c r="H485" s="20">
        <f t="shared" ref="H485:I486" si="246">G485*6.3%+3250</f>
        <v>3467.6492499999999</v>
      </c>
      <c r="I485" s="20">
        <f t="shared" si="246"/>
        <v>3468.4619027499998</v>
      </c>
      <c r="J485" s="32"/>
      <c r="K485" s="32"/>
    </row>
    <row r="486" spans="1:11">
      <c r="A486" s="37">
        <v>0</v>
      </c>
      <c r="B486" s="17" t="s">
        <v>103</v>
      </c>
      <c r="C486" s="18">
        <v>7210</v>
      </c>
      <c r="D486" s="19">
        <v>0</v>
      </c>
      <c r="E486" s="19">
        <v>0</v>
      </c>
      <c r="F486" s="20">
        <v>0</v>
      </c>
      <c r="G486" s="21">
        <f>+E486*6.3/100+E486</f>
        <v>0</v>
      </c>
      <c r="H486" s="20">
        <f t="shared" si="246"/>
        <v>3250</v>
      </c>
      <c r="I486" s="20">
        <f t="shared" si="246"/>
        <v>3454.75</v>
      </c>
      <c r="J486" s="32"/>
      <c r="K486" s="32"/>
    </row>
    <row r="487" spans="1:11">
      <c r="A487" s="30">
        <f>SUM(A485:A486)</f>
        <v>6500</v>
      </c>
      <c r="B487" s="17"/>
      <c r="C487" s="18"/>
      <c r="D487" s="36">
        <f t="shared" ref="D487:I487" si="247">SUM(D485:D486)</f>
        <v>1866.41</v>
      </c>
      <c r="E487" s="30">
        <f t="shared" si="247"/>
        <v>3250</v>
      </c>
      <c r="F487" s="30">
        <f t="shared" si="247"/>
        <v>6500</v>
      </c>
      <c r="G487" s="31">
        <f t="shared" si="247"/>
        <v>3454.75</v>
      </c>
      <c r="H487" s="30">
        <f t="shared" si="247"/>
        <v>6717.6492500000004</v>
      </c>
      <c r="I487" s="30">
        <f t="shared" si="247"/>
        <v>6923.2119027499994</v>
      </c>
      <c r="J487" s="32"/>
      <c r="K487" s="32"/>
    </row>
    <row r="488" spans="1:11">
      <c r="A488" s="37"/>
      <c r="B488" s="39" t="s">
        <v>67</v>
      </c>
      <c r="C488" s="18"/>
      <c r="D488" s="19"/>
      <c r="E488" s="19"/>
      <c r="F488" s="30"/>
      <c r="G488" s="31"/>
      <c r="H488" s="30"/>
      <c r="I488" s="30"/>
      <c r="J488" s="32"/>
      <c r="K488" s="32"/>
    </row>
    <row r="489" spans="1:11">
      <c r="A489" s="37">
        <v>111500</v>
      </c>
      <c r="B489" s="17" t="s">
        <v>45</v>
      </c>
      <c r="C489" s="18"/>
      <c r="D489" s="19">
        <v>41368.71</v>
      </c>
      <c r="E489" s="19">
        <f>+F489</f>
        <v>120524</v>
      </c>
      <c r="F489" s="30">
        <v>120524</v>
      </c>
      <c r="G489" s="21">
        <f>F489*6.3%+F489</f>
        <v>128117.012</v>
      </c>
      <c r="H489" s="20">
        <f>G489*6.3%+G489</f>
        <v>136188.383756</v>
      </c>
      <c r="I489" s="20">
        <f>H489*6.3%+H489</f>
        <v>144768.25193262799</v>
      </c>
      <c r="J489" s="32"/>
      <c r="K489" s="32"/>
    </row>
    <row r="490" spans="1:11">
      <c r="A490" s="37"/>
      <c r="B490" s="17"/>
      <c r="C490" s="18"/>
      <c r="D490" s="19"/>
      <c r="E490" s="19"/>
      <c r="F490" s="30"/>
      <c r="G490" s="31"/>
      <c r="H490" s="30"/>
      <c r="I490" s="30"/>
      <c r="J490" s="32"/>
      <c r="K490" s="32"/>
    </row>
    <row r="491" spans="1:11">
      <c r="A491" s="45">
        <f>+A489+A487+A482+A464</f>
        <v>880209.90999999992</v>
      </c>
      <c r="B491" s="39" t="s">
        <v>46</v>
      </c>
      <c r="C491" s="18"/>
      <c r="D491" s="45">
        <f t="shared" ref="D491:E491" si="248">+D489+D487+D482+D464</f>
        <v>367900.9</v>
      </c>
      <c r="E491" s="45">
        <f t="shared" si="248"/>
        <v>865217.43000000017</v>
      </c>
      <c r="F491" s="45">
        <f>+F489+F487+F482+F464</f>
        <v>955522.35000000009</v>
      </c>
      <c r="G491" s="31">
        <f>+G489+G487+G482+G464</f>
        <v>970758.76767999993</v>
      </c>
      <c r="H491" s="45">
        <f t="shared" ref="H491:I491" si="249">+H489+H487+H482+H464</f>
        <v>1048257.8900204399</v>
      </c>
      <c r="I491" s="45">
        <f t="shared" si="249"/>
        <v>1128480.1316263853</v>
      </c>
      <c r="J491" s="32"/>
      <c r="K491" s="32"/>
    </row>
    <row r="492" spans="1:11">
      <c r="A492" s="45">
        <f>+A453-A491</f>
        <v>-18001.329999999958</v>
      </c>
      <c r="B492" s="44" t="str">
        <f>B60</f>
        <v>NETT AMOUNT</v>
      </c>
      <c r="C492" s="18"/>
      <c r="D492" s="45">
        <f t="shared" ref="D492:E492" si="250">+D453-D491</f>
        <v>-222436.29000000004</v>
      </c>
      <c r="E492" s="45">
        <f t="shared" si="250"/>
        <v>82178.389999999781</v>
      </c>
      <c r="F492" s="45">
        <f>+F453-F491</f>
        <v>-15674.830000000075</v>
      </c>
      <c r="G492" s="31">
        <f t="shared" ref="G492:I492" si="251">+G453-G491</f>
        <v>-34706.495679999935</v>
      </c>
      <c r="H492" s="45">
        <f t="shared" si="251"/>
        <v>-27600.390820439789</v>
      </c>
      <c r="I492" s="45">
        <f t="shared" si="251"/>
        <v>-14756.882506385213</v>
      </c>
      <c r="J492" s="32"/>
      <c r="K492" s="32"/>
    </row>
    <row r="493" spans="1:11">
      <c r="A493" s="37"/>
      <c r="B493" s="17"/>
      <c r="C493" s="18"/>
      <c r="D493" s="19"/>
      <c r="E493" s="19"/>
      <c r="F493" s="30"/>
      <c r="G493" s="31"/>
      <c r="H493" s="30"/>
      <c r="I493" s="30"/>
      <c r="J493" s="32"/>
      <c r="K493" s="32"/>
    </row>
    <row r="494" spans="1:11">
      <c r="A494" s="37"/>
      <c r="B494" s="17"/>
      <c r="C494" s="18"/>
      <c r="D494" s="19"/>
      <c r="E494" s="19"/>
      <c r="F494" s="37"/>
      <c r="G494" s="50"/>
      <c r="H494" s="30"/>
      <c r="I494" s="30"/>
      <c r="J494" s="32"/>
      <c r="K494" s="32"/>
    </row>
    <row r="495" spans="1:11">
      <c r="A495" s="37" t="s">
        <v>72</v>
      </c>
      <c r="B495" s="17"/>
      <c r="C495" s="18"/>
      <c r="D495" s="18" t="s">
        <v>469</v>
      </c>
      <c r="E495" s="18" t="s">
        <v>473</v>
      </c>
      <c r="F495" s="18" t="s">
        <v>73</v>
      </c>
      <c r="G495" s="24" t="s">
        <v>73</v>
      </c>
      <c r="H495" s="22" t="s">
        <v>651</v>
      </c>
      <c r="I495" s="22" t="s">
        <v>651</v>
      </c>
      <c r="J495" s="32"/>
      <c r="K495" s="32"/>
    </row>
    <row r="496" spans="1:11">
      <c r="A496" s="37" t="s">
        <v>10</v>
      </c>
      <c r="B496" s="29" t="s">
        <v>172</v>
      </c>
      <c r="C496" s="18" t="str">
        <f>C2</f>
        <v>ABAKUS</v>
      </c>
      <c r="D496" s="18" t="s">
        <v>470</v>
      </c>
      <c r="E496" s="18" t="s">
        <v>10</v>
      </c>
      <c r="F496" s="18" t="s">
        <v>11</v>
      </c>
      <c r="G496" s="24" t="s">
        <v>498</v>
      </c>
      <c r="H496" s="22" t="s">
        <v>500</v>
      </c>
      <c r="I496" s="22" t="s">
        <v>498</v>
      </c>
      <c r="J496" s="32"/>
      <c r="K496" s="32"/>
    </row>
    <row r="497" spans="1:11">
      <c r="A497" s="37" t="s">
        <v>13</v>
      </c>
      <c r="B497" s="17"/>
      <c r="C497" s="18" t="str">
        <f>C3</f>
        <v>VOTES</v>
      </c>
      <c r="D497" s="18" t="s">
        <v>14</v>
      </c>
      <c r="E497" s="18" t="s">
        <v>14</v>
      </c>
      <c r="F497" s="18" t="s">
        <v>14</v>
      </c>
      <c r="G497" s="24" t="s">
        <v>15</v>
      </c>
      <c r="H497" s="22" t="s">
        <v>272</v>
      </c>
      <c r="I497" s="22" t="s">
        <v>285</v>
      </c>
      <c r="J497" s="32"/>
      <c r="K497" s="32"/>
    </row>
    <row r="498" spans="1:11">
      <c r="A498" s="37"/>
      <c r="B498" s="18" t="s">
        <v>173</v>
      </c>
      <c r="C498" s="18"/>
      <c r="D498" s="19"/>
      <c r="E498" s="19"/>
      <c r="F498" s="30"/>
      <c r="G498" s="31"/>
      <c r="H498" s="30"/>
      <c r="I498" s="30"/>
      <c r="J498" s="32"/>
      <c r="K498" s="32"/>
    </row>
    <row r="499" spans="1:11">
      <c r="A499" s="37"/>
      <c r="B499" s="18"/>
      <c r="C499" s="18"/>
      <c r="D499" s="19"/>
      <c r="E499" s="19"/>
      <c r="F499" s="30"/>
      <c r="G499" s="31"/>
      <c r="H499" s="30"/>
      <c r="I499" s="30"/>
      <c r="J499" s="32"/>
      <c r="K499" s="32"/>
    </row>
    <row r="500" spans="1:11">
      <c r="A500" s="37"/>
      <c r="B500" s="29" t="s">
        <v>16</v>
      </c>
      <c r="C500" s="18"/>
      <c r="D500" s="19"/>
      <c r="E500" s="19"/>
      <c r="F500" s="30"/>
      <c r="G500" s="31"/>
      <c r="H500" s="30"/>
      <c r="I500" s="30"/>
      <c r="J500" s="32"/>
      <c r="K500" s="32"/>
    </row>
    <row r="501" spans="1:11">
      <c r="A501" s="16">
        <v>52500</v>
      </c>
      <c r="B501" s="35" t="s">
        <v>174</v>
      </c>
      <c r="C501" s="18">
        <v>5080</v>
      </c>
      <c r="D501" s="19">
        <v>8092.85</v>
      </c>
      <c r="E501" s="19">
        <f>+F501/2</f>
        <v>28875</v>
      </c>
      <c r="F501" s="34">
        <f>+A501*0.1+A501</f>
        <v>57750</v>
      </c>
      <c r="G501" s="21">
        <f>+E501*0.1+E501</f>
        <v>31762.5</v>
      </c>
      <c r="H501" s="34">
        <f t="shared" ref="H501:I501" si="252">+F501*0.1+F501</f>
        <v>63525</v>
      </c>
      <c r="I501" s="34">
        <f t="shared" si="252"/>
        <v>34938.75</v>
      </c>
      <c r="J501" s="32"/>
      <c r="K501" s="32"/>
    </row>
    <row r="502" spans="1:11">
      <c r="A502" s="16">
        <v>1044850</v>
      </c>
      <c r="B502" s="35" t="s">
        <v>80</v>
      </c>
      <c r="C502" s="18">
        <v>5270</v>
      </c>
      <c r="D502" s="19">
        <v>0</v>
      </c>
      <c r="E502" s="19">
        <f>F502</f>
        <v>1200000</v>
      </c>
      <c r="F502" s="34">
        <v>1200000</v>
      </c>
      <c r="G502" s="21">
        <f>+E502*0.1+E502-130396-200000-16722+100000</f>
        <v>1072882</v>
      </c>
      <c r="H502" s="34">
        <f t="shared" ref="H502" si="253">+F502*0.1+F502</f>
        <v>1320000</v>
      </c>
      <c r="I502" s="34">
        <f t="shared" ref="I502" si="254">+G502*0.1+G502</f>
        <v>1180170.2</v>
      </c>
      <c r="J502" s="32"/>
      <c r="K502" s="32"/>
    </row>
    <row r="503" spans="1:11">
      <c r="A503" s="45">
        <f>SUM(A501:A502)</f>
        <v>1097350</v>
      </c>
      <c r="B503" s="17"/>
      <c r="C503" s="18"/>
      <c r="D503" s="49">
        <f>SUM(D501:D502)</f>
        <v>8092.85</v>
      </c>
      <c r="E503" s="45">
        <f>SUM(E501:E502)</f>
        <v>1228875</v>
      </c>
      <c r="F503" s="45">
        <f>SUM(F501:F502)</f>
        <v>1257750</v>
      </c>
      <c r="G503" s="31">
        <f>SUM(G501:G502)</f>
        <v>1104644.5</v>
      </c>
      <c r="H503" s="45">
        <f t="shared" ref="H503:I503" si="255">SUM(H501:H502)</f>
        <v>1383525</v>
      </c>
      <c r="I503" s="45">
        <f t="shared" si="255"/>
        <v>1215108.95</v>
      </c>
      <c r="J503" s="32"/>
      <c r="K503" s="32"/>
    </row>
    <row r="504" spans="1:11">
      <c r="A504" s="37"/>
      <c r="B504" s="29" t="s">
        <v>22</v>
      </c>
      <c r="C504" s="18"/>
      <c r="D504" s="19"/>
      <c r="E504" s="19"/>
      <c r="F504" s="30"/>
      <c r="G504" s="31"/>
      <c r="H504" s="30"/>
      <c r="I504" s="30"/>
      <c r="J504" s="32"/>
      <c r="K504" s="32"/>
    </row>
    <row r="505" spans="1:11">
      <c r="A505" s="37"/>
      <c r="B505" s="17"/>
      <c r="C505" s="18"/>
      <c r="D505" s="19"/>
      <c r="E505" s="19"/>
      <c r="F505" s="30"/>
      <c r="G505" s="31"/>
      <c r="H505" s="30"/>
      <c r="I505" s="30"/>
      <c r="J505" s="32"/>
      <c r="K505" s="32"/>
    </row>
    <row r="506" spans="1:11">
      <c r="A506" s="38"/>
      <c r="B506" s="39" t="s">
        <v>23</v>
      </c>
      <c r="C506" s="29"/>
      <c r="D506" s="40"/>
      <c r="E506" s="40"/>
      <c r="F506" s="30"/>
      <c r="G506" s="31"/>
      <c r="H506" s="30"/>
      <c r="I506" s="30"/>
      <c r="J506" s="32"/>
      <c r="K506" s="32"/>
    </row>
    <row r="507" spans="1:11">
      <c r="A507" s="16">
        <v>236080</v>
      </c>
      <c r="B507" s="17" t="s">
        <v>81</v>
      </c>
      <c r="C507" s="18">
        <v>6010</v>
      </c>
      <c r="D507" s="19">
        <v>83399.100000000006</v>
      </c>
      <c r="E507" s="19">
        <f>F507</f>
        <v>316094.65000000002</v>
      </c>
      <c r="F507" s="20">
        <f>+'[1]STAFF SALARIES SUMMARY'!C18+'[1]STAFF SALARIES SUMMARY'!D18</f>
        <v>316094.65000000002</v>
      </c>
      <c r="G507" s="21">
        <f>F507*8.3%+F507</f>
        <v>342330.50595000002</v>
      </c>
      <c r="H507" s="20">
        <f t="shared" ref="H507:I507" si="256">G507*8.3%+G507</f>
        <v>370743.93794385</v>
      </c>
      <c r="I507" s="20">
        <f t="shared" si="256"/>
        <v>401515.68479318958</v>
      </c>
      <c r="J507" s="32"/>
      <c r="K507" s="32"/>
    </row>
    <row r="508" spans="1:11">
      <c r="A508" s="16">
        <v>0</v>
      </c>
      <c r="B508" s="17" t="s">
        <v>55</v>
      </c>
      <c r="C508" s="18">
        <v>6030</v>
      </c>
      <c r="D508" s="19">
        <v>0</v>
      </c>
      <c r="E508" s="19">
        <v>0</v>
      </c>
      <c r="F508" s="20">
        <f>+'[1]STAFF SALARIES SUMMARY'!I18</f>
        <v>4389.0600000000004</v>
      </c>
      <c r="G508" s="21">
        <f t="shared" ref="G508:I508" si="257">F508*8.3%+F508</f>
        <v>4753.3519800000004</v>
      </c>
      <c r="H508" s="20">
        <f t="shared" si="257"/>
        <v>5147.8801943400003</v>
      </c>
      <c r="I508" s="20">
        <f t="shared" si="257"/>
        <v>5575.1542504702202</v>
      </c>
      <c r="J508" s="32"/>
      <c r="K508" s="32"/>
    </row>
    <row r="509" spans="1:11">
      <c r="A509" s="16">
        <v>30000</v>
      </c>
      <c r="B509" s="17" t="s">
        <v>83</v>
      </c>
      <c r="C509" s="18">
        <v>6040</v>
      </c>
      <c r="D509" s="19">
        <v>12129.23</v>
      </c>
      <c r="E509" s="19">
        <f>+D509*2</f>
        <v>24258.46</v>
      </c>
      <c r="F509" s="34">
        <f>+'[1]STAFF SALARIES SUMMARY'!G18</f>
        <v>60987.45</v>
      </c>
      <c r="G509" s="21">
        <f t="shared" ref="G509:I509" si="258">F509*8.3%+F509</f>
        <v>66049.408349999998</v>
      </c>
      <c r="H509" s="20">
        <f t="shared" si="258"/>
        <v>71531.509243049994</v>
      </c>
      <c r="I509" s="20">
        <f t="shared" si="258"/>
        <v>77468.624510223148</v>
      </c>
      <c r="J509" s="32"/>
      <c r="K509" s="32"/>
    </row>
    <row r="510" spans="1:11">
      <c r="A510" s="16">
        <v>39220</v>
      </c>
      <c r="B510" s="17" t="s">
        <v>115</v>
      </c>
      <c r="C510" s="18">
        <v>6050</v>
      </c>
      <c r="D510" s="19">
        <v>19136.099999999999</v>
      </c>
      <c r="E510" s="19">
        <f>+F510</f>
        <v>52322.94</v>
      </c>
      <c r="F510" s="20">
        <f>+'[1]STAFF SALARIES SUMMARY'!H18</f>
        <v>52322.94</v>
      </c>
      <c r="G510" s="21">
        <f t="shared" ref="G510:I510" si="259">F510*8.3%+F510</f>
        <v>56665.744020000006</v>
      </c>
      <c r="H510" s="20">
        <f t="shared" si="259"/>
        <v>61369.000773660009</v>
      </c>
      <c r="I510" s="20">
        <f t="shared" si="259"/>
        <v>66462.627837873792</v>
      </c>
      <c r="J510" s="32"/>
      <c r="K510" s="32"/>
    </row>
    <row r="511" spans="1:11">
      <c r="A511" s="16">
        <v>0</v>
      </c>
      <c r="B511" s="17" t="s">
        <v>29</v>
      </c>
      <c r="C511" s="18">
        <v>6085</v>
      </c>
      <c r="D511" s="19">
        <v>0</v>
      </c>
      <c r="E511" s="19">
        <f>+F511</f>
        <v>2499.96</v>
      </c>
      <c r="F511" s="20">
        <f>+'[1]STAFF SALARIES SUMMARY'!F18</f>
        <v>2499.96</v>
      </c>
      <c r="G511" s="21">
        <f t="shared" ref="G511:I511" si="260">F511*8.3%+F511</f>
        <v>2707.4566800000002</v>
      </c>
      <c r="H511" s="20">
        <f t="shared" si="260"/>
        <v>2932.1755844400004</v>
      </c>
      <c r="I511" s="20">
        <f t="shared" si="260"/>
        <v>3175.5461579485204</v>
      </c>
      <c r="J511" s="32"/>
      <c r="K511" s="32"/>
    </row>
    <row r="512" spans="1:11">
      <c r="A512" s="16">
        <v>250</v>
      </c>
      <c r="B512" s="17" t="s">
        <v>117</v>
      </c>
      <c r="C512" s="18">
        <v>6088</v>
      </c>
      <c r="D512" s="19">
        <v>67.5</v>
      </c>
      <c r="E512" s="19">
        <f>+F512</f>
        <v>331.5</v>
      </c>
      <c r="F512" s="20">
        <f>+'[1]STAFF SALARIES SUMMARY'!K18</f>
        <v>331.5</v>
      </c>
      <c r="G512" s="21">
        <f t="shared" ref="G512:I512" si="261">F512*8.3%+F512</f>
        <v>359.0145</v>
      </c>
      <c r="H512" s="20">
        <f t="shared" si="261"/>
        <v>388.8127035</v>
      </c>
      <c r="I512" s="20">
        <f t="shared" si="261"/>
        <v>421.08415789050002</v>
      </c>
      <c r="J512" s="32"/>
      <c r="K512" s="32"/>
    </row>
    <row r="513" spans="1:11">
      <c r="A513" s="16">
        <v>2180</v>
      </c>
      <c r="B513" s="17" t="s">
        <v>61</v>
      </c>
      <c r="C513" s="18">
        <v>6087</v>
      </c>
      <c r="D513" s="19">
        <v>955.26</v>
      </c>
      <c r="E513" s="19">
        <f>+F513</f>
        <v>2917.8</v>
      </c>
      <c r="F513" s="20">
        <f>+'[1]STAFF SALARIES SUMMARY'!J18</f>
        <v>2917.8</v>
      </c>
      <c r="G513" s="21">
        <f t="shared" ref="G513:I513" si="262">F513*8.3%+F513</f>
        <v>3159.9774000000002</v>
      </c>
      <c r="H513" s="20">
        <f t="shared" si="262"/>
        <v>3422.2555242000003</v>
      </c>
      <c r="I513" s="20">
        <f t="shared" si="262"/>
        <v>3706.3027327086002</v>
      </c>
      <c r="J513" s="32"/>
      <c r="K513" s="32"/>
    </row>
    <row r="514" spans="1:11">
      <c r="A514" s="45">
        <f>SUM(A507:A513)</f>
        <v>307730</v>
      </c>
      <c r="B514" s="17"/>
      <c r="C514" s="18"/>
      <c r="D514" s="49">
        <f t="shared" ref="D514:I514" si="263">SUM(D507:D513)</f>
        <v>115687.18999999999</v>
      </c>
      <c r="E514" s="45">
        <f t="shared" si="263"/>
        <v>398425.31000000006</v>
      </c>
      <c r="F514" s="45">
        <f t="shared" si="263"/>
        <v>439543.36000000004</v>
      </c>
      <c r="G514" s="31">
        <f t="shared" si="263"/>
        <v>476025.45887999993</v>
      </c>
      <c r="H514" s="45">
        <f t="shared" si="263"/>
        <v>515535.57196704001</v>
      </c>
      <c r="I514" s="45">
        <f t="shared" si="263"/>
        <v>558325.02444030449</v>
      </c>
      <c r="J514" s="32"/>
      <c r="K514" s="32"/>
    </row>
    <row r="515" spans="1:11">
      <c r="A515" s="38"/>
      <c r="B515" s="39" t="s">
        <v>30</v>
      </c>
      <c r="C515" s="29"/>
      <c r="D515" s="40"/>
      <c r="E515" s="40"/>
      <c r="F515" s="30"/>
      <c r="G515" s="31"/>
      <c r="H515" s="30"/>
      <c r="I515" s="30"/>
      <c r="J515" s="32"/>
      <c r="K515" s="32"/>
    </row>
    <row r="516" spans="1:11">
      <c r="A516" s="16">
        <v>43900</v>
      </c>
      <c r="B516" s="17" t="s">
        <v>90</v>
      </c>
      <c r="C516" s="18">
        <v>6540</v>
      </c>
      <c r="D516" s="19">
        <v>15825.53</v>
      </c>
      <c r="E516" s="19">
        <f>+F516</f>
        <v>30000</v>
      </c>
      <c r="F516" s="20">
        <v>30000</v>
      </c>
      <c r="G516" s="21">
        <f>F516*6.3%+F516</f>
        <v>31890</v>
      </c>
      <c r="H516" s="20">
        <f t="shared" ref="H516:I516" si="264">G516*6.3%+G516</f>
        <v>33899.07</v>
      </c>
      <c r="I516" s="20">
        <f t="shared" si="264"/>
        <v>36034.711410000004</v>
      </c>
      <c r="J516" s="32"/>
      <c r="K516" s="32"/>
    </row>
    <row r="517" spans="1:11">
      <c r="A517" s="16">
        <f>+F517</f>
        <v>3790</v>
      </c>
      <c r="B517" s="17" t="s">
        <v>33</v>
      </c>
      <c r="C517" s="18">
        <v>6570</v>
      </c>
      <c r="D517" s="19"/>
      <c r="E517" s="19">
        <f>F517/2</f>
        <v>1895</v>
      </c>
      <c r="F517" s="20">
        <v>3790</v>
      </c>
      <c r="G517" s="21">
        <f>E517</f>
        <v>1895</v>
      </c>
      <c r="H517" s="20">
        <f t="shared" ref="H517:I517" si="265">G517*6.3%+G517</f>
        <v>2014.385</v>
      </c>
      <c r="I517" s="20">
        <f t="shared" si="265"/>
        <v>2141.2912550000001</v>
      </c>
      <c r="J517" s="32"/>
      <c r="K517" s="32"/>
    </row>
    <row r="518" spans="1:11">
      <c r="A518" s="16">
        <f>+F518</f>
        <v>2380</v>
      </c>
      <c r="B518" s="17" t="s">
        <v>62</v>
      </c>
      <c r="C518" s="18">
        <v>6690</v>
      </c>
      <c r="D518" s="19"/>
      <c r="E518" s="19">
        <v>0</v>
      </c>
      <c r="F518" s="20">
        <v>2380</v>
      </c>
      <c r="G518" s="21">
        <f t="shared" ref="G518:I518" si="266">F518*6.3%+F518</f>
        <v>2529.94</v>
      </c>
      <c r="H518" s="20">
        <f t="shared" si="266"/>
        <v>2689.3262199999999</v>
      </c>
      <c r="I518" s="20">
        <f t="shared" si="266"/>
        <v>2858.7537718599997</v>
      </c>
      <c r="J518" s="32"/>
      <c r="K518" s="32"/>
    </row>
    <row r="519" spans="1:11">
      <c r="A519" s="16">
        <v>3766.15</v>
      </c>
      <c r="B519" s="17" t="s">
        <v>316</v>
      </c>
      <c r="C519" s="18">
        <v>7090</v>
      </c>
      <c r="D519" s="19">
        <v>4142.7700000000004</v>
      </c>
      <c r="E519" s="19">
        <f>+D519</f>
        <v>4142.7700000000004</v>
      </c>
      <c r="F519" s="20">
        <f>+A519*0.1+A519</f>
        <v>4142.7650000000003</v>
      </c>
      <c r="G519" s="21">
        <f t="shared" ref="G519:I519" si="267">F519*6.3%+F519</f>
        <v>4403.7591950000005</v>
      </c>
      <c r="H519" s="20">
        <f t="shared" si="267"/>
        <v>4681.1960242850009</v>
      </c>
      <c r="I519" s="20">
        <f t="shared" si="267"/>
        <v>4976.1113738149561</v>
      </c>
      <c r="J519" s="32"/>
      <c r="K519" s="32"/>
    </row>
    <row r="520" spans="1:11">
      <c r="A520" s="16">
        <v>77000</v>
      </c>
      <c r="B520" s="17" t="s">
        <v>576</v>
      </c>
      <c r="C520" s="18">
        <v>6900</v>
      </c>
      <c r="D520" s="19">
        <v>33417.22</v>
      </c>
      <c r="E520" s="19">
        <f>+D520*2</f>
        <v>66834.44</v>
      </c>
      <c r="F520" s="20">
        <f>+A520*0.1+A520</f>
        <v>84700</v>
      </c>
      <c r="G520" s="21">
        <f>70000+100000</f>
        <v>170000</v>
      </c>
      <c r="H520" s="20">
        <f t="shared" ref="H520:I520" si="268">G520*6.3%+G520</f>
        <v>180710</v>
      </c>
      <c r="I520" s="20">
        <f t="shared" si="268"/>
        <v>192094.73</v>
      </c>
      <c r="J520" s="32"/>
      <c r="K520" s="32"/>
    </row>
    <row r="521" spans="1:11">
      <c r="A521" s="16">
        <v>26926</v>
      </c>
      <c r="B521" s="17" t="s">
        <v>167</v>
      </c>
      <c r="C521" s="18">
        <v>6920</v>
      </c>
      <c r="D521" s="19">
        <v>12255.22</v>
      </c>
      <c r="E521" s="19">
        <f>+F521</f>
        <v>26926</v>
      </c>
      <c r="F521" s="20">
        <f>+A521</f>
        <v>26926</v>
      </c>
      <c r="G521" s="21">
        <v>25000</v>
      </c>
      <c r="H521" s="20">
        <f t="shared" ref="H521:I521" si="269">G521*6.3%+G521</f>
        <v>26575</v>
      </c>
      <c r="I521" s="20">
        <f t="shared" si="269"/>
        <v>28249.224999999999</v>
      </c>
      <c r="J521" s="32"/>
      <c r="K521" s="32"/>
    </row>
    <row r="522" spans="1:11">
      <c r="A522" s="16">
        <v>35000</v>
      </c>
      <c r="B522" s="17" t="s">
        <v>155</v>
      </c>
      <c r="C522" s="18">
        <v>6930</v>
      </c>
      <c r="D522" s="19">
        <v>0</v>
      </c>
      <c r="E522" s="19">
        <v>0</v>
      </c>
      <c r="F522" s="20">
        <v>50000</v>
      </c>
      <c r="G522" s="21">
        <v>0</v>
      </c>
      <c r="H522" s="20">
        <f t="shared" ref="H522:I522" si="270">G522*6.3%+G522</f>
        <v>0</v>
      </c>
      <c r="I522" s="20">
        <f t="shared" si="270"/>
        <v>0</v>
      </c>
      <c r="J522" s="32"/>
      <c r="K522" s="32"/>
    </row>
    <row r="523" spans="1:11">
      <c r="A523" s="16">
        <v>15000</v>
      </c>
      <c r="B523" s="17" t="s">
        <v>317</v>
      </c>
      <c r="C523" s="18">
        <v>6970</v>
      </c>
      <c r="D523" s="19">
        <v>4340.82</v>
      </c>
      <c r="E523" s="19">
        <f>+D523*2</f>
        <v>8681.64</v>
      </c>
      <c r="F523" s="20">
        <f>+A523*3</f>
        <v>45000</v>
      </c>
      <c r="G523" s="21">
        <f>E523</f>
        <v>8681.64</v>
      </c>
      <c r="H523" s="20">
        <f t="shared" ref="H523:I523" si="271">G523*6.3%+G523</f>
        <v>9228.5833199999997</v>
      </c>
      <c r="I523" s="20">
        <f t="shared" si="271"/>
        <v>9809.9840691600002</v>
      </c>
      <c r="J523" s="32"/>
      <c r="K523" s="32"/>
    </row>
    <row r="524" spans="1:11">
      <c r="A524" s="16">
        <v>7400</v>
      </c>
      <c r="B524" s="17" t="s">
        <v>39</v>
      </c>
      <c r="C524" s="18">
        <v>6990</v>
      </c>
      <c r="D524" s="19">
        <v>24</v>
      </c>
      <c r="E524" s="19">
        <f>+D524</f>
        <v>24</v>
      </c>
      <c r="F524" s="20">
        <v>0</v>
      </c>
      <c r="G524" s="21">
        <f t="shared" ref="G524:I524" si="272">F524*6.3%+F524</f>
        <v>0</v>
      </c>
      <c r="H524" s="20">
        <f t="shared" si="272"/>
        <v>0</v>
      </c>
      <c r="I524" s="20">
        <f t="shared" si="272"/>
        <v>0</v>
      </c>
      <c r="J524" s="32"/>
      <c r="K524" s="32"/>
    </row>
    <row r="525" spans="1:11">
      <c r="A525" s="16">
        <f>+F525</f>
        <v>2800</v>
      </c>
      <c r="B525" s="17" t="s">
        <v>65</v>
      </c>
      <c r="C525" s="18">
        <v>7081</v>
      </c>
      <c r="D525" s="19">
        <v>0</v>
      </c>
      <c r="E525" s="19">
        <f>+F525/2</f>
        <v>1400</v>
      </c>
      <c r="F525" s="20">
        <v>2800</v>
      </c>
      <c r="G525" s="21">
        <f>E525</f>
        <v>1400</v>
      </c>
      <c r="H525" s="20">
        <f t="shared" ref="H525:I525" si="273">G525*6.3%+G525</f>
        <v>1488.2</v>
      </c>
      <c r="I525" s="20">
        <f t="shared" si="273"/>
        <v>1581.9566</v>
      </c>
      <c r="J525" s="32"/>
      <c r="K525" s="32"/>
    </row>
    <row r="526" spans="1:11">
      <c r="A526" s="45">
        <f>SUM(A516:A525)</f>
        <v>217962.15</v>
      </c>
      <c r="B526" s="17"/>
      <c r="C526" s="18"/>
      <c r="D526" s="49">
        <f t="shared" ref="D526:I526" si="274">SUM(D516:D525)</f>
        <v>70005.56</v>
      </c>
      <c r="E526" s="45">
        <f t="shared" si="274"/>
        <v>139903.85</v>
      </c>
      <c r="F526" s="45">
        <f t="shared" si="274"/>
        <v>249738.76500000001</v>
      </c>
      <c r="G526" s="31">
        <f t="shared" si="274"/>
        <v>245800.33919500001</v>
      </c>
      <c r="H526" s="45">
        <f t="shared" si="274"/>
        <v>261285.76056428501</v>
      </c>
      <c r="I526" s="45">
        <f t="shared" si="274"/>
        <v>277746.76347983495</v>
      </c>
      <c r="J526" s="32"/>
      <c r="K526" s="32"/>
    </row>
    <row r="527" spans="1:11">
      <c r="A527" s="38"/>
      <c r="B527" s="39" t="s">
        <v>69</v>
      </c>
      <c r="C527" s="29"/>
      <c r="D527" s="40"/>
      <c r="E527" s="40"/>
      <c r="F527" s="30"/>
      <c r="G527" s="31"/>
      <c r="H527" s="30"/>
      <c r="I527" s="30"/>
      <c r="J527" s="32"/>
      <c r="K527" s="32"/>
    </row>
    <row r="528" spans="1:11">
      <c r="A528" s="16">
        <v>215000</v>
      </c>
      <c r="B528" s="17" t="s">
        <v>103</v>
      </c>
      <c r="C528" s="18">
        <v>7210</v>
      </c>
      <c r="D528" s="19">
        <v>19312.990000000002</v>
      </c>
      <c r="E528" s="19">
        <f>F528</f>
        <v>150000</v>
      </c>
      <c r="F528" s="20">
        <v>150000</v>
      </c>
      <c r="G528" s="21">
        <v>200000</v>
      </c>
      <c r="H528" s="20">
        <f>+G528*0.1+G528</f>
        <v>220000</v>
      </c>
      <c r="I528" s="20">
        <f>+H528*0.1+H528</f>
        <v>242000</v>
      </c>
      <c r="J528" s="32"/>
      <c r="K528" s="32"/>
    </row>
    <row r="529" spans="1:11">
      <c r="A529" s="16">
        <v>215000</v>
      </c>
      <c r="B529" s="17" t="s">
        <v>175</v>
      </c>
      <c r="C529" s="18">
        <v>7225</v>
      </c>
      <c r="D529" s="19">
        <v>2481.6999999999998</v>
      </c>
      <c r="E529" s="19">
        <f>F529</f>
        <v>400000</v>
      </c>
      <c r="F529" s="34">
        <v>400000</v>
      </c>
      <c r="G529" s="21">
        <f t="shared" ref="G529:I530" si="275">F529*6.3%+F529</f>
        <v>425200</v>
      </c>
      <c r="H529" s="20">
        <f t="shared" si="275"/>
        <v>451987.6</v>
      </c>
      <c r="I529" s="20">
        <f t="shared" si="275"/>
        <v>480462.81879999995</v>
      </c>
      <c r="J529" s="32"/>
      <c r="K529" s="32"/>
    </row>
    <row r="530" spans="1:11">
      <c r="A530" s="16">
        <f>+F530/2</f>
        <v>10500</v>
      </c>
      <c r="B530" s="17" t="s">
        <v>176</v>
      </c>
      <c r="C530" s="18">
        <v>7240</v>
      </c>
      <c r="D530" s="19">
        <v>17023.849999999999</v>
      </c>
      <c r="E530" s="19">
        <f>F530</f>
        <v>21000</v>
      </c>
      <c r="F530" s="34">
        <v>21000</v>
      </c>
      <c r="G530" s="21">
        <v>10000</v>
      </c>
      <c r="H530" s="20">
        <f t="shared" si="275"/>
        <v>10630</v>
      </c>
      <c r="I530" s="20">
        <f t="shared" si="275"/>
        <v>11299.69</v>
      </c>
      <c r="J530" s="32"/>
      <c r="K530" s="32"/>
    </row>
    <row r="531" spans="1:11">
      <c r="A531" s="45">
        <f>SUM(A528:A530)</f>
        <v>440500</v>
      </c>
      <c r="B531" s="17"/>
      <c r="C531" s="18"/>
      <c r="D531" s="49">
        <f t="shared" ref="D531:I531" si="276">SUM(D528:D530)</f>
        <v>38818.54</v>
      </c>
      <c r="E531" s="45">
        <f t="shared" si="276"/>
        <v>571000</v>
      </c>
      <c r="F531" s="45">
        <f t="shared" si="276"/>
        <v>571000</v>
      </c>
      <c r="G531" s="31">
        <f t="shared" si="276"/>
        <v>635200</v>
      </c>
      <c r="H531" s="45">
        <f t="shared" si="276"/>
        <v>682617.6</v>
      </c>
      <c r="I531" s="45">
        <f t="shared" si="276"/>
        <v>733762.50879999995</v>
      </c>
      <c r="J531" s="32"/>
      <c r="K531" s="32"/>
    </row>
    <row r="532" spans="1:11">
      <c r="A532" s="37"/>
      <c r="B532" s="39" t="s">
        <v>67</v>
      </c>
      <c r="C532" s="18"/>
      <c r="D532" s="19"/>
      <c r="E532" s="19"/>
      <c r="F532" s="45"/>
      <c r="G532" s="31"/>
      <c r="H532" s="45"/>
      <c r="I532" s="45"/>
      <c r="J532" s="32"/>
      <c r="K532" s="32"/>
    </row>
    <row r="533" spans="1:11">
      <c r="A533" s="37">
        <v>120000</v>
      </c>
      <c r="B533" s="17" t="s">
        <v>68</v>
      </c>
      <c r="C533" s="18"/>
      <c r="D533" s="19">
        <v>134723.71</v>
      </c>
      <c r="E533" s="19">
        <f>+D533*2</f>
        <v>269447.42</v>
      </c>
      <c r="F533" s="30">
        <f>51917+197322</f>
        <v>249239</v>
      </c>
      <c r="G533" s="21">
        <f>F533*10%+F533</f>
        <v>274162.90000000002</v>
      </c>
      <c r="H533" s="20">
        <f>G533*10%+G533</f>
        <v>301579.19</v>
      </c>
      <c r="I533" s="20">
        <f>H533*10%+H533</f>
        <v>331737.109</v>
      </c>
      <c r="J533" s="32"/>
      <c r="K533" s="32"/>
    </row>
    <row r="534" spans="1:11">
      <c r="A534" s="37"/>
      <c r="B534" s="17"/>
      <c r="C534" s="18"/>
      <c r="D534" s="19"/>
      <c r="E534" s="19"/>
      <c r="F534" s="30"/>
      <c r="G534" s="31"/>
      <c r="H534" s="30"/>
      <c r="I534" s="30"/>
      <c r="J534" s="32"/>
      <c r="K534" s="32"/>
    </row>
    <row r="535" spans="1:11">
      <c r="A535" s="45">
        <f>+A533+A531+A526+A514</f>
        <v>1086192.1499999999</v>
      </c>
      <c r="B535" s="44" t="s">
        <v>46</v>
      </c>
      <c r="C535" s="18"/>
      <c r="D535" s="45">
        <f>+D533+D531+D526+D514</f>
        <v>359235</v>
      </c>
      <c r="E535" s="45">
        <f>+E533+E531+E526+E514</f>
        <v>1378776.58</v>
      </c>
      <c r="F535" s="45">
        <f>+F533+F531+F526+F514</f>
        <v>1509521.1250000002</v>
      </c>
      <c r="G535" s="31">
        <f>+G533+G531+G526+G514</f>
        <v>1631188.6980749997</v>
      </c>
      <c r="H535" s="45">
        <f t="shared" ref="H535:I535" si="277">+H533+H531+H526+H514</f>
        <v>1761018.1225313251</v>
      </c>
      <c r="I535" s="45">
        <f t="shared" si="277"/>
        <v>1901571.4057201394</v>
      </c>
      <c r="J535" s="32"/>
      <c r="K535" s="32"/>
    </row>
    <row r="536" spans="1:11">
      <c r="A536" s="45">
        <f>+A503-A535</f>
        <v>11157.850000000093</v>
      </c>
      <c r="B536" s="44" t="str">
        <f>B60</f>
        <v>NETT AMOUNT</v>
      </c>
      <c r="C536" s="18"/>
      <c r="D536" s="45">
        <f>+D503-D535</f>
        <v>-351142.15</v>
      </c>
      <c r="E536" s="45">
        <f>+E503-E535</f>
        <v>-149901.58000000007</v>
      </c>
      <c r="F536" s="45">
        <f>+F503-F535</f>
        <v>-251771.12500000023</v>
      </c>
      <c r="G536" s="31">
        <f t="shared" ref="G536:I536" si="278">+G503-G535</f>
        <v>-526544.19807499973</v>
      </c>
      <c r="H536" s="45">
        <f t="shared" si="278"/>
        <v>-377493.12253132509</v>
      </c>
      <c r="I536" s="45">
        <f t="shared" si="278"/>
        <v>-686462.45572013943</v>
      </c>
      <c r="J536" s="32"/>
      <c r="K536" s="32"/>
    </row>
    <row r="537" spans="1:11">
      <c r="A537" s="37"/>
      <c r="B537" s="17"/>
      <c r="C537" s="18"/>
      <c r="D537" s="19"/>
      <c r="E537" s="19"/>
      <c r="F537" s="30"/>
      <c r="G537" s="31"/>
      <c r="H537" s="30"/>
      <c r="I537" s="30"/>
      <c r="J537" s="32"/>
      <c r="K537" s="32"/>
    </row>
    <row r="538" spans="1:11">
      <c r="A538" s="37"/>
      <c r="B538" s="17"/>
      <c r="C538" s="18"/>
      <c r="D538" s="19"/>
      <c r="E538" s="19"/>
      <c r="F538" s="37"/>
      <c r="G538" s="50"/>
      <c r="H538" s="30"/>
      <c r="I538" s="30"/>
      <c r="J538" s="32"/>
      <c r="K538" s="32"/>
    </row>
    <row r="539" spans="1:11">
      <c r="A539" s="37" t="s">
        <v>72</v>
      </c>
      <c r="B539" s="17"/>
      <c r="C539" s="18"/>
      <c r="D539" s="18" t="s">
        <v>469</v>
      </c>
      <c r="E539" s="18" t="s">
        <v>473</v>
      </c>
      <c r="F539" s="18" t="s">
        <v>73</v>
      </c>
      <c r="G539" s="24" t="s">
        <v>73</v>
      </c>
      <c r="H539" s="22" t="s">
        <v>651</v>
      </c>
      <c r="I539" s="22" t="s">
        <v>651</v>
      </c>
      <c r="J539" s="32"/>
      <c r="K539" s="32"/>
    </row>
    <row r="540" spans="1:11">
      <c r="A540" s="37" t="s">
        <v>10</v>
      </c>
      <c r="B540" s="29" t="s">
        <v>177</v>
      </c>
      <c r="C540" s="18" t="str">
        <f>C2</f>
        <v>ABAKUS</v>
      </c>
      <c r="D540" s="18" t="s">
        <v>470</v>
      </c>
      <c r="E540" s="18" t="s">
        <v>10</v>
      </c>
      <c r="F540" s="18" t="s">
        <v>11</v>
      </c>
      <c r="G540" s="24" t="s">
        <v>498</v>
      </c>
      <c r="H540" s="22" t="s">
        <v>500</v>
      </c>
      <c r="I540" s="22" t="s">
        <v>498</v>
      </c>
      <c r="J540" s="32"/>
      <c r="K540" s="32"/>
    </row>
    <row r="541" spans="1:11">
      <c r="A541" s="37" t="s">
        <v>13</v>
      </c>
      <c r="B541" s="17"/>
      <c r="C541" s="18" t="str">
        <f>C3</f>
        <v>VOTES</v>
      </c>
      <c r="D541" s="18" t="s">
        <v>14</v>
      </c>
      <c r="E541" s="18" t="s">
        <v>14</v>
      </c>
      <c r="F541" s="18" t="s">
        <v>14</v>
      </c>
      <c r="G541" s="24" t="s">
        <v>15</v>
      </c>
      <c r="H541" s="22" t="s">
        <v>272</v>
      </c>
      <c r="I541" s="22" t="s">
        <v>285</v>
      </c>
      <c r="J541" s="32"/>
      <c r="K541" s="32"/>
    </row>
    <row r="542" spans="1:11">
      <c r="A542" s="37"/>
      <c r="B542" s="18" t="s">
        <v>178</v>
      </c>
      <c r="C542" s="18"/>
      <c r="D542" s="19"/>
      <c r="E542" s="19"/>
      <c r="F542" s="30"/>
      <c r="G542" s="31"/>
      <c r="H542" s="30"/>
      <c r="I542" s="30"/>
      <c r="J542" s="32"/>
      <c r="K542" s="32"/>
    </row>
    <row r="543" spans="1:11">
      <c r="A543" s="37"/>
      <c r="B543" s="18"/>
      <c r="C543" s="18"/>
      <c r="D543" s="19"/>
      <c r="E543" s="19"/>
      <c r="F543" s="30"/>
      <c r="G543" s="31"/>
      <c r="H543" s="30"/>
      <c r="I543" s="30"/>
      <c r="J543" s="32"/>
      <c r="K543" s="32"/>
    </row>
    <row r="544" spans="1:11">
      <c r="A544" s="37"/>
      <c r="B544" s="29" t="s">
        <v>16</v>
      </c>
      <c r="C544" s="18"/>
      <c r="D544" s="19"/>
      <c r="E544" s="19"/>
      <c r="F544" s="30"/>
      <c r="G544" s="31"/>
      <c r="H544" s="30"/>
      <c r="I544" s="30"/>
      <c r="J544" s="32"/>
      <c r="K544" s="32"/>
    </row>
    <row r="545" spans="1:11">
      <c r="A545" s="37"/>
      <c r="B545" s="18"/>
      <c r="C545" s="18"/>
      <c r="D545" s="19"/>
      <c r="E545" s="19"/>
      <c r="F545" s="30"/>
      <c r="G545" s="31"/>
      <c r="H545" s="30"/>
      <c r="I545" s="30"/>
      <c r="J545" s="32"/>
      <c r="K545" s="32"/>
    </row>
    <row r="546" spans="1:11">
      <c r="A546" s="16">
        <v>0</v>
      </c>
      <c r="B546" s="60" t="s">
        <v>179</v>
      </c>
      <c r="C546" s="18">
        <v>5185</v>
      </c>
      <c r="D546" s="19">
        <v>0</v>
      </c>
      <c r="E546" s="19">
        <v>0</v>
      </c>
      <c r="F546" s="34">
        <v>0</v>
      </c>
      <c r="G546" s="21">
        <v>0</v>
      </c>
      <c r="H546" s="34">
        <v>0</v>
      </c>
      <c r="I546" s="34">
        <v>0</v>
      </c>
      <c r="J546" s="32"/>
      <c r="K546" s="32"/>
    </row>
    <row r="547" spans="1:11">
      <c r="A547" s="16">
        <v>959750</v>
      </c>
      <c r="B547" s="60" t="s">
        <v>51</v>
      </c>
      <c r="C547" s="18">
        <v>5270</v>
      </c>
      <c r="D547" s="19">
        <v>0</v>
      </c>
      <c r="E547" s="19">
        <f>F547</f>
        <v>1000000</v>
      </c>
      <c r="F547" s="34">
        <v>1000000</v>
      </c>
      <c r="G547" s="21">
        <f>+F547*0.1+F547-100000-200000</f>
        <v>800000</v>
      </c>
      <c r="H547" s="34">
        <f>+G547*0.1+G547</f>
        <v>880000</v>
      </c>
      <c r="I547" s="34">
        <f>+H547*0.1+H547</f>
        <v>968000</v>
      </c>
      <c r="J547" s="32"/>
      <c r="K547" s="32"/>
    </row>
    <row r="548" spans="1:11">
      <c r="A548" s="16">
        <v>50000</v>
      </c>
      <c r="B548" s="60" t="s">
        <v>180</v>
      </c>
      <c r="C548" s="18">
        <v>5010</v>
      </c>
      <c r="D548" s="19">
        <v>6043.48</v>
      </c>
      <c r="E548" s="19">
        <f>F548</f>
        <v>50000</v>
      </c>
      <c r="F548" s="34">
        <v>50000</v>
      </c>
      <c r="G548" s="21">
        <f t="shared" ref="G548:I548" si="279">+F548*0.1+F548</f>
        <v>55000</v>
      </c>
      <c r="H548" s="34">
        <f t="shared" si="279"/>
        <v>60500</v>
      </c>
      <c r="I548" s="34">
        <f t="shared" si="279"/>
        <v>66550</v>
      </c>
      <c r="J548" s="32"/>
      <c r="K548" s="32"/>
    </row>
    <row r="549" spans="1:11">
      <c r="A549" s="16">
        <v>5000</v>
      </c>
      <c r="B549" s="60" t="s">
        <v>110</v>
      </c>
      <c r="C549" s="18">
        <v>5240</v>
      </c>
      <c r="D549" s="19">
        <v>10050</v>
      </c>
      <c r="E549" s="19">
        <f>F549</f>
        <v>412669.92</v>
      </c>
      <c r="F549" s="34">
        <f>206334.96*2</f>
        <v>412669.92</v>
      </c>
      <c r="G549" s="21">
        <f t="shared" ref="G549:I549" si="280">+F549*0.1+F549</f>
        <v>453936.91200000001</v>
      </c>
      <c r="H549" s="34">
        <f t="shared" si="280"/>
        <v>499330.60320000001</v>
      </c>
      <c r="I549" s="34">
        <f t="shared" si="280"/>
        <v>549263.66352000006</v>
      </c>
      <c r="J549" s="32"/>
      <c r="K549" s="32"/>
    </row>
    <row r="550" spans="1:11">
      <c r="A550" s="16">
        <f>+F550</f>
        <v>0</v>
      </c>
      <c r="B550" s="35" t="s">
        <v>181</v>
      </c>
      <c r="C550" s="18">
        <v>5390</v>
      </c>
      <c r="D550" s="19"/>
      <c r="E550" s="19"/>
      <c r="F550" s="34">
        <v>0</v>
      </c>
      <c r="G550" s="21">
        <v>0</v>
      </c>
      <c r="H550" s="34">
        <v>0</v>
      </c>
      <c r="I550" s="34">
        <v>0</v>
      </c>
      <c r="J550" s="32"/>
      <c r="K550" s="32"/>
    </row>
    <row r="551" spans="1:11">
      <c r="A551" s="45">
        <f>SUM(A546:A550)</f>
        <v>1014750</v>
      </c>
      <c r="B551" s="18"/>
      <c r="C551" s="18"/>
      <c r="D551" s="49">
        <f>SUM(D546:D550)</f>
        <v>16093.48</v>
      </c>
      <c r="E551" s="45">
        <f>SUM(E546:E550)</f>
        <v>1462669.92</v>
      </c>
      <c r="F551" s="45">
        <f>SUM(F546:F550)</f>
        <v>1462669.92</v>
      </c>
      <c r="G551" s="31">
        <f t="shared" ref="G551:I551" si="281">SUM(G546:G550)</f>
        <v>1308936.912</v>
      </c>
      <c r="H551" s="45">
        <f t="shared" si="281"/>
        <v>1439830.6032</v>
      </c>
      <c r="I551" s="45">
        <f t="shared" si="281"/>
        <v>1583813.6635199999</v>
      </c>
      <c r="J551" s="32"/>
      <c r="K551" s="32"/>
    </row>
    <row r="552" spans="1:11">
      <c r="A552" s="37"/>
      <c r="B552" s="29" t="s">
        <v>22</v>
      </c>
      <c r="C552" s="18"/>
      <c r="D552" s="19"/>
      <c r="E552" s="19"/>
      <c r="F552" s="30"/>
      <c r="G552" s="31"/>
      <c r="H552" s="30"/>
      <c r="I552" s="30"/>
      <c r="J552" s="32"/>
      <c r="K552" s="32"/>
    </row>
    <row r="553" spans="1:11">
      <c r="A553" s="37"/>
      <c r="B553" s="17"/>
      <c r="C553" s="18"/>
      <c r="D553" s="19"/>
      <c r="E553" s="19"/>
      <c r="F553" s="30"/>
      <c r="G553" s="31"/>
      <c r="H553" s="30"/>
      <c r="I553" s="30"/>
      <c r="J553" s="32"/>
      <c r="K553" s="32"/>
    </row>
    <row r="554" spans="1:11">
      <c r="A554" s="38"/>
      <c r="B554" s="39" t="s">
        <v>23</v>
      </c>
      <c r="C554" s="29"/>
      <c r="D554" s="40"/>
      <c r="E554" s="40"/>
      <c r="F554" s="30"/>
      <c r="G554" s="31"/>
      <c r="H554" s="30"/>
      <c r="I554" s="30"/>
      <c r="J554" s="32"/>
      <c r="K554" s="32"/>
    </row>
    <row r="555" spans="1:11">
      <c r="A555" s="16">
        <v>697200</v>
      </c>
      <c r="B555" s="17" t="s">
        <v>54</v>
      </c>
      <c r="C555" s="57">
        <v>6010</v>
      </c>
      <c r="D555" s="19">
        <v>338387.13</v>
      </c>
      <c r="E555" s="19">
        <f>F555</f>
        <v>1286768.8599999999</v>
      </c>
      <c r="F555" s="34">
        <f>+'[1]STAFF SALARIES SUMMARY'!C20+'[1]STAFF SALARIES SUMMARY'!D20</f>
        <v>1286768.8599999999</v>
      </c>
      <c r="G555" s="21">
        <f>F555*8.3%+F555</f>
        <v>1393570.6753799999</v>
      </c>
      <c r="H555" s="34">
        <f>G555*8.3%+G555</f>
        <v>1509237.04143654</v>
      </c>
      <c r="I555" s="34">
        <f>H555*8.3%+H555</f>
        <v>1634503.7158757728</v>
      </c>
      <c r="J555" s="32"/>
      <c r="K555" s="32"/>
    </row>
    <row r="556" spans="1:11">
      <c r="A556" s="16">
        <v>28620</v>
      </c>
      <c r="B556" s="17" t="s">
        <v>82</v>
      </c>
      <c r="C556" s="57">
        <v>6030</v>
      </c>
      <c r="D556" s="19">
        <v>1021.8</v>
      </c>
      <c r="E556" s="19">
        <f>F556</f>
        <v>63437.02</v>
      </c>
      <c r="F556" s="34">
        <f>+'[1]STAFF SALARIES SUMMARY'!I20</f>
        <v>63437.02</v>
      </c>
      <c r="G556" s="21">
        <f t="shared" ref="G556:I557" si="282">F556*8.3%+F556</f>
        <v>68702.292659999992</v>
      </c>
      <c r="H556" s="34">
        <f t="shared" si="282"/>
        <v>74404.582950779994</v>
      </c>
      <c r="I556" s="34">
        <f t="shared" si="282"/>
        <v>80580.163335694728</v>
      </c>
      <c r="J556" s="32"/>
      <c r="K556" s="32"/>
    </row>
    <row r="557" spans="1:11">
      <c r="A557" s="16">
        <v>2209.5500000000002</v>
      </c>
      <c r="B557" s="17" t="s">
        <v>133</v>
      </c>
      <c r="C557" s="57">
        <v>6040</v>
      </c>
      <c r="D557" s="19">
        <v>7168.49</v>
      </c>
      <c r="E557" s="19">
        <f>D557*2</f>
        <v>14336.98</v>
      </c>
      <c r="F557" s="34">
        <f>+'[1]STAFF SALARIES SUMMARY'!G20</f>
        <v>0</v>
      </c>
      <c r="G557" s="21">
        <v>35000</v>
      </c>
      <c r="H557" s="34">
        <f t="shared" si="282"/>
        <v>37905</v>
      </c>
      <c r="I557" s="34">
        <f t="shared" ref="I557" si="283">H557*8.3%+H557</f>
        <v>41051.114999999998</v>
      </c>
      <c r="J557" s="32"/>
      <c r="K557" s="32"/>
    </row>
    <row r="558" spans="1:11">
      <c r="A558" s="16">
        <v>80641.240000000005</v>
      </c>
      <c r="B558" s="17" t="s">
        <v>182</v>
      </c>
      <c r="C558" s="57">
        <v>6050</v>
      </c>
      <c r="D558" s="19">
        <v>32692.42</v>
      </c>
      <c r="E558" s="19">
        <f>+F558</f>
        <v>141699.67000000001</v>
      </c>
      <c r="F558" s="34">
        <f>+'[1]STAFF SALARIES SUMMARY'!H20</f>
        <v>141699.67000000001</v>
      </c>
      <c r="G558" s="21">
        <f t="shared" ref="G558:I558" si="284">F558*8.3%+F558</f>
        <v>153460.74261000002</v>
      </c>
      <c r="H558" s="34">
        <f t="shared" si="284"/>
        <v>166197.98424663002</v>
      </c>
      <c r="I558" s="34">
        <f t="shared" si="284"/>
        <v>179992.41693910031</v>
      </c>
      <c r="J558" s="32"/>
      <c r="K558" s="32"/>
    </row>
    <row r="559" spans="1:11">
      <c r="A559" s="16">
        <v>156000</v>
      </c>
      <c r="B559" s="17" t="s">
        <v>85</v>
      </c>
      <c r="C559" s="57">
        <v>6070</v>
      </c>
      <c r="D559" s="19">
        <v>81310.59</v>
      </c>
      <c r="E559" s="19">
        <f>+F559/2</f>
        <v>119754.375</v>
      </c>
      <c r="F559" s="34">
        <f>+'[1]STAFF SALARIES SUMMARY'!E20</f>
        <v>239508.75</v>
      </c>
      <c r="G559" s="21">
        <f t="shared" ref="G559:I559" si="285">F559*8.3%+F559</f>
        <v>259387.97625000001</v>
      </c>
      <c r="H559" s="34">
        <f t="shared" si="285"/>
        <v>280917.17827874998</v>
      </c>
      <c r="I559" s="34">
        <f t="shared" si="285"/>
        <v>304233.30407588626</v>
      </c>
      <c r="J559" s="32"/>
      <c r="K559" s="32"/>
    </row>
    <row r="560" spans="1:11">
      <c r="A560" s="16">
        <v>5500</v>
      </c>
      <c r="B560" s="17" t="s">
        <v>29</v>
      </c>
      <c r="C560" s="57">
        <v>6085</v>
      </c>
      <c r="D560" s="19">
        <v>0</v>
      </c>
      <c r="E560" s="19">
        <v>0</v>
      </c>
      <c r="F560" s="34">
        <f>+'[1]STAFF SALARIES SUMMARY'!F20</f>
        <v>0</v>
      </c>
      <c r="G560" s="21">
        <f t="shared" ref="G560:I560" si="286">F560*8.3%+F560</f>
        <v>0</v>
      </c>
      <c r="H560" s="34">
        <f t="shared" si="286"/>
        <v>0</v>
      </c>
      <c r="I560" s="34">
        <f t="shared" si="286"/>
        <v>0</v>
      </c>
      <c r="J560" s="32"/>
      <c r="K560" s="32"/>
    </row>
    <row r="561" spans="1:11">
      <c r="A561" s="16">
        <v>100</v>
      </c>
      <c r="B561" s="17" t="s">
        <v>86</v>
      </c>
      <c r="C561" s="57">
        <v>6088</v>
      </c>
      <c r="D561" s="19">
        <v>45</v>
      </c>
      <c r="E561" s="19">
        <f>+F561</f>
        <v>386.75</v>
      </c>
      <c r="F561" s="34">
        <f>+'[1]STAFF SALARIES SUMMARY'!K20</f>
        <v>386.75</v>
      </c>
      <c r="G561" s="21">
        <f t="shared" ref="G561:I561" si="287">F561*8.3%+F561</f>
        <v>418.85025000000002</v>
      </c>
      <c r="H561" s="34">
        <f t="shared" si="287"/>
        <v>453.61482075000004</v>
      </c>
      <c r="I561" s="34">
        <f t="shared" si="287"/>
        <v>491.26485087225007</v>
      </c>
      <c r="J561" s="32"/>
      <c r="K561" s="32"/>
    </row>
    <row r="562" spans="1:11">
      <c r="A562" s="16">
        <v>5722</v>
      </c>
      <c r="B562" s="17" t="s">
        <v>183</v>
      </c>
      <c r="C562" s="57">
        <v>6087</v>
      </c>
      <c r="D562" s="19">
        <v>2091.0300000000002</v>
      </c>
      <c r="E562" s="19">
        <f>+D562*2</f>
        <v>4182.0600000000004</v>
      </c>
      <c r="F562" s="34">
        <f>+'[1]STAFF SALARIES SUMMARY'!J20</f>
        <v>11971.49</v>
      </c>
      <c r="G562" s="21">
        <f t="shared" ref="G562:I562" si="288">F562*8.3%+F562</f>
        <v>12965.123669999999</v>
      </c>
      <c r="H562" s="34">
        <f t="shared" si="288"/>
        <v>14041.228934609999</v>
      </c>
      <c r="I562" s="34">
        <f t="shared" si="288"/>
        <v>15206.650936182628</v>
      </c>
      <c r="J562" s="32"/>
      <c r="K562" s="32"/>
    </row>
    <row r="563" spans="1:11">
      <c r="A563" s="45">
        <f>SUM(A555:A562)</f>
        <v>975992.79</v>
      </c>
      <c r="B563" s="17"/>
      <c r="C563" s="18"/>
      <c r="D563" s="49">
        <f t="shared" ref="D563:F563" si="289">SUM(D555:D562)</f>
        <v>462716.45999999996</v>
      </c>
      <c r="E563" s="45">
        <f t="shared" si="289"/>
        <v>1630565.7149999999</v>
      </c>
      <c r="F563" s="45">
        <f t="shared" si="289"/>
        <v>1743772.5399999998</v>
      </c>
      <c r="G563" s="31">
        <f>SUM(G555:G562)</f>
        <v>1923505.6608199999</v>
      </c>
      <c r="H563" s="45">
        <f>SUM(H555:H562)</f>
        <v>2083156.6306680599</v>
      </c>
      <c r="I563" s="45">
        <f>SUM(I555:I562)</f>
        <v>2256058.6310135084</v>
      </c>
      <c r="J563" s="32"/>
      <c r="K563" s="32"/>
    </row>
    <row r="564" spans="1:11">
      <c r="A564" s="38"/>
      <c r="B564" s="39" t="s">
        <v>30</v>
      </c>
      <c r="C564" s="29"/>
      <c r="D564" s="40"/>
      <c r="E564" s="40"/>
      <c r="F564" s="30"/>
      <c r="G564" s="31"/>
      <c r="H564" s="30"/>
      <c r="I564" s="30"/>
      <c r="J564" s="32"/>
      <c r="K564" s="32"/>
    </row>
    <row r="565" spans="1:11">
      <c r="A565" s="16">
        <f>+F565</f>
        <v>11180</v>
      </c>
      <c r="B565" s="17" t="s">
        <v>33</v>
      </c>
      <c r="C565" s="18">
        <v>6570</v>
      </c>
      <c r="D565" s="19">
        <v>0</v>
      </c>
      <c r="E565" s="19">
        <f>+F565/2</f>
        <v>5590</v>
      </c>
      <c r="F565" s="34">
        <v>11180</v>
      </c>
      <c r="G565" s="21">
        <f>E565</f>
        <v>5590</v>
      </c>
      <c r="H565" s="34">
        <f>G565*6.3%+G565</f>
        <v>5942.17</v>
      </c>
      <c r="I565" s="34">
        <f>H565*6.3%+H565</f>
        <v>6316.5267100000001</v>
      </c>
      <c r="J565" s="32"/>
      <c r="K565" s="32"/>
    </row>
    <row r="566" spans="1:11">
      <c r="A566" s="16">
        <f>+F566</f>
        <v>6970</v>
      </c>
      <c r="B566" s="17" t="s">
        <v>184</v>
      </c>
      <c r="C566" s="18">
        <v>6690</v>
      </c>
      <c r="D566" s="19">
        <v>0</v>
      </c>
      <c r="E566" s="19">
        <f>+F566/2</f>
        <v>3485</v>
      </c>
      <c r="F566" s="20">
        <v>6970</v>
      </c>
      <c r="G566" s="21">
        <f>E566</f>
        <v>3485</v>
      </c>
      <c r="H566" s="34">
        <f t="shared" ref="H566:I566" si="290">G566*6.3%+G566</f>
        <v>3704.5549999999998</v>
      </c>
      <c r="I566" s="34">
        <f t="shared" si="290"/>
        <v>3937.941965</v>
      </c>
      <c r="J566" s="32"/>
      <c r="K566" s="32"/>
    </row>
    <row r="567" spans="1:11">
      <c r="A567" s="16">
        <f>+F567</f>
        <v>21000</v>
      </c>
      <c r="B567" s="17" t="s">
        <v>65</v>
      </c>
      <c r="C567" s="18">
        <v>7081</v>
      </c>
      <c r="D567" s="19">
        <v>686.49</v>
      </c>
      <c r="E567" s="19">
        <f>+F567/2</f>
        <v>10500</v>
      </c>
      <c r="F567" s="20">
        <v>21000</v>
      </c>
      <c r="G567" s="21">
        <f>E567/2</f>
        <v>5250</v>
      </c>
      <c r="H567" s="34">
        <f t="shared" ref="H567:I567" si="291">G567*6.3%+G567</f>
        <v>5580.75</v>
      </c>
      <c r="I567" s="34">
        <f t="shared" si="291"/>
        <v>5932.3372499999996</v>
      </c>
      <c r="J567" s="32"/>
      <c r="K567" s="32"/>
    </row>
    <row r="568" spans="1:11">
      <c r="A568" s="16">
        <f>+F568/2</f>
        <v>15000</v>
      </c>
      <c r="B568" s="60" t="s">
        <v>185</v>
      </c>
      <c r="C568" s="18">
        <v>7021</v>
      </c>
      <c r="D568" s="19">
        <v>12114.75</v>
      </c>
      <c r="E568" s="19">
        <f>+F568</f>
        <v>30000</v>
      </c>
      <c r="F568" s="34">
        <v>30000</v>
      </c>
      <c r="G568" s="21">
        <f>E568</f>
        <v>30000</v>
      </c>
      <c r="H568" s="34">
        <f t="shared" ref="H568:I568" si="292">G568*6.3%+G568</f>
        <v>31890</v>
      </c>
      <c r="I568" s="34">
        <f t="shared" si="292"/>
        <v>33899.07</v>
      </c>
      <c r="J568" s="32"/>
      <c r="K568" s="32"/>
    </row>
    <row r="569" spans="1:11">
      <c r="A569" s="16">
        <v>10428</v>
      </c>
      <c r="B569" s="60" t="s">
        <v>40</v>
      </c>
      <c r="C569" s="18">
        <v>7070</v>
      </c>
      <c r="D569" s="19">
        <v>937.82</v>
      </c>
      <c r="E569" s="19">
        <f>+F569</f>
        <v>20000</v>
      </c>
      <c r="F569" s="34">
        <v>20000</v>
      </c>
      <c r="G569" s="21">
        <f>E569</f>
        <v>20000</v>
      </c>
      <c r="H569" s="34">
        <f t="shared" ref="H569:I569" si="293">G569*6.3%+G569</f>
        <v>21260</v>
      </c>
      <c r="I569" s="34">
        <f t="shared" si="293"/>
        <v>22599.38</v>
      </c>
      <c r="J569" s="32"/>
      <c r="K569" s="32"/>
    </row>
    <row r="570" spans="1:11">
      <c r="A570" s="16">
        <v>0</v>
      </c>
      <c r="B570" s="60" t="s">
        <v>39</v>
      </c>
      <c r="C570" s="18">
        <v>6990</v>
      </c>
      <c r="D570" s="19">
        <v>21108.3</v>
      </c>
      <c r="E570" s="19">
        <f>+D570*2</f>
        <v>42216.6</v>
      </c>
      <c r="F570" s="34">
        <v>20000</v>
      </c>
      <c r="G570" s="21">
        <v>0</v>
      </c>
      <c r="H570" s="34">
        <f t="shared" ref="H570:I570" si="294">G570*6.3%+G570</f>
        <v>0</v>
      </c>
      <c r="I570" s="34">
        <f t="shared" si="294"/>
        <v>0</v>
      </c>
      <c r="J570" s="32"/>
      <c r="K570" s="32"/>
    </row>
    <row r="571" spans="1:11">
      <c r="A571" s="45">
        <f>SUM(A565:A569)</f>
        <v>64578</v>
      </c>
      <c r="B571" s="17"/>
      <c r="C571" s="18"/>
      <c r="D571" s="49">
        <f t="shared" ref="D571:I571" si="295">SUM(D565:D570)</f>
        <v>34847.360000000001</v>
      </c>
      <c r="E571" s="45">
        <f t="shared" si="295"/>
        <v>111791.6</v>
      </c>
      <c r="F571" s="45">
        <f t="shared" si="295"/>
        <v>109150</v>
      </c>
      <c r="G571" s="31">
        <f t="shared" si="295"/>
        <v>64325</v>
      </c>
      <c r="H571" s="45">
        <f t="shared" si="295"/>
        <v>68377.475000000006</v>
      </c>
      <c r="I571" s="45">
        <f t="shared" si="295"/>
        <v>72685.255925000005</v>
      </c>
      <c r="J571" s="32"/>
      <c r="K571" s="32"/>
    </row>
    <row r="572" spans="1:11">
      <c r="A572" s="45"/>
      <c r="B572" s="39" t="s">
        <v>69</v>
      </c>
      <c r="C572" s="18"/>
      <c r="D572" s="49"/>
      <c r="E572" s="45"/>
      <c r="F572" s="45"/>
      <c r="G572" s="31"/>
      <c r="H572" s="45"/>
      <c r="I572" s="45"/>
      <c r="J572" s="32"/>
      <c r="K572" s="32"/>
    </row>
    <row r="573" spans="1:11">
      <c r="A573" s="45"/>
      <c r="B573" s="17" t="s">
        <v>42</v>
      </c>
      <c r="C573" s="18">
        <v>7350</v>
      </c>
      <c r="D573" s="49">
        <v>0</v>
      </c>
      <c r="E573" s="45">
        <v>0</v>
      </c>
      <c r="F573" s="45">
        <v>0</v>
      </c>
      <c r="G573" s="31">
        <v>15000</v>
      </c>
      <c r="H573" s="45">
        <v>15000</v>
      </c>
      <c r="I573" s="45">
        <v>15000</v>
      </c>
      <c r="J573" s="32"/>
      <c r="K573" s="32"/>
    </row>
    <row r="574" spans="1:11">
      <c r="A574" s="45"/>
      <c r="B574" s="17"/>
      <c r="C574" s="18"/>
      <c r="D574" s="49"/>
      <c r="E574" s="45"/>
      <c r="F574" s="45"/>
      <c r="G574" s="31"/>
      <c r="H574" s="45"/>
      <c r="I574" s="45"/>
      <c r="J574" s="32"/>
      <c r="K574" s="32"/>
    </row>
    <row r="575" spans="1:11">
      <c r="A575" s="38"/>
      <c r="B575" s="39" t="s">
        <v>67</v>
      </c>
      <c r="C575" s="29"/>
      <c r="D575" s="40"/>
      <c r="E575" s="40"/>
      <c r="F575" s="30"/>
      <c r="G575" s="31"/>
      <c r="H575" s="30"/>
      <c r="I575" s="30"/>
      <c r="J575" s="32"/>
      <c r="K575" s="32"/>
    </row>
    <row r="576" spans="1:11">
      <c r="A576" s="37">
        <v>2500</v>
      </c>
      <c r="B576" s="17" t="s">
        <v>68</v>
      </c>
      <c r="C576" s="18">
        <v>7800</v>
      </c>
      <c r="D576" s="19">
        <v>4398.3599999999997</v>
      </c>
      <c r="E576" s="30">
        <v>35994</v>
      </c>
      <c r="F576" s="30">
        <v>35994</v>
      </c>
      <c r="G576" s="21">
        <f>F576*6.3%+35994</f>
        <v>38261.622000000003</v>
      </c>
      <c r="H576" s="34">
        <f>G576*6.3%+35994</f>
        <v>38404.482186000001</v>
      </c>
      <c r="I576" s="34">
        <f>H576*6.3%+35994</f>
        <v>38413.482377717999</v>
      </c>
      <c r="J576" s="32"/>
      <c r="K576" s="32"/>
    </row>
    <row r="577" spans="1:11">
      <c r="A577" s="37"/>
      <c r="B577" s="17"/>
      <c r="C577" s="18"/>
      <c r="D577" s="19"/>
      <c r="E577" s="19"/>
      <c r="F577" s="30"/>
      <c r="G577" s="31"/>
      <c r="H577" s="45"/>
      <c r="I577" s="45"/>
      <c r="J577" s="32"/>
      <c r="K577" s="32"/>
    </row>
    <row r="578" spans="1:11">
      <c r="A578" s="45">
        <f>+A576+A571+A563</f>
        <v>1043070.79</v>
      </c>
      <c r="B578" s="39" t="s">
        <v>46</v>
      </c>
      <c r="C578" s="18"/>
      <c r="D578" s="45">
        <f t="shared" ref="D578:E578" si="296">+D576+89150+1743772.54</f>
        <v>1837320.9000000001</v>
      </c>
      <c r="E578" s="45">
        <f t="shared" si="296"/>
        <v>1868916.54</v>
      </c>
      <c r="F578" s="45">
        <f>+F576+89150+1743772.54</f>
        <v>1868916.54</v>
      </c>
      <c r="G578" s="31">
        <f>G563+G571+G573+G576</f>
        <v>2041092.2828199998</v>
      </c>
      <c r="H578" s="31">
        <f>H563+H571+H573+H576</f>
        <v>2204938.5878540599</v>
      </c>
      <c r="I578" s="31">
        <f>I563+I571+I573+I576</f>
        <v>2382157.3693162268</v>
      </c>
      <c r="J578" s="32"/>
      <c r="K578" s="32"/>
    </row>
    <row r="579" spans="1:11">
      <c r="A579" s="45">
        <f>+A551-A578</f>
        <v>-28320.790000000037</v>
      </c>
      <c r="B579" s="44" t="str">
        <f>B60</f>
        <v>NETT AMOUNT</v>
      </c>
      <c r="C579" s="18"/>
      <c r="D579" s="45">
        <f t="shared" ref="D579:E579" si="297">+D551-D578</f>
        <v>-1821227.4200000002</v>
      </c>
      <c r="E579" s="45">
        <f t="shared" si="297"/>
        <v>-406246.62000000011</v>
      </c>
      <c r="F579" s="45">
        <f>+F551-F578</f>
        <v>-406246.62000000011</v>
      </c>
      <c r="G579" s="31">
        <f t="shared" ref="G579:I579" si="298">+G551-G578</f>
        <v>-732155.37081999984</v>
      </c>
      <c r="H579" s="45">
        <f t="shared" si="298"/>
        <v>-765107.98465405987</v>
      </c>
      <c r="I579" s="45">
        <f t="shared" si="298"/>
        <v>-798343.70579622686</v>
      </c>
      <c r="J579" s="32"/>
      <c r="K579" s="32"/>
    </row>
    <row r="580" spans="1:11">
      <c r="A580" s="37"/>
      <c r="B580" s="17"/>
      <c r="C580" s="18"/>
      <c r="D580" s="19"/>
      <c r="E580" s="19"/>
      <c r="F580" s="30"/>
      <c r="G580" s="31"/>
      <c r="H580" s="30"/>
      <c r="I580" s="30"/>
      <c r="J580" s="32"/>
      <c r="K580" s="32"/>
    </row>
    <row r="581" spans="1:11">
      <c r="A581" s="37"/>
      <c r="B581" s="17"/>
      <c r="C581" s="18"/>
      <c r="D581" s="19"/>
      <c r="E581" s="19"/>
      <c r="F581" s="37"/>
      <c r="G581" s="50"/>
      <c r="H581" s="30"/>
      <c r="I581" s="30"/>
      <c r="J581" s="32"/>
      <c r="K581" s="32"/>
    </row>
    <row r="582" spans="1:11">
      <c r="A582" s="37" t="s">
        <v>72</v>
      </c>
      <c r="B582" s="17"/>
      <c r="C582" s="18"/>
      <c r="D582" s="18" t="s">
        <v>469</v>
      </c>
      <c r="E582" s="18" t="s">
        <v>473</v>
      </c>
      <c r="F582" s="18" t="s">
        <v>73</v>
      </c>
      <c r="G582" s="24" t="s">
        <v>73</v>
      </c>
      <c r="H582" s="22" t="s">
        <v>651</v>
      </c>
      <c r="I582" s="22" t="s">
        <v>651</v>
      </c>
      <c r="J582" s="32"/>
      <c r="K582" s="32"/>
    </row>
    <row r="583" spans="1:11">
      <c r="A583" s="37" t="s">
        <v>10</v>
      </c>
      <c r="B583" s="29" t="s">
        <v>186</v>
      </c>
      <c r="C583" s="18" t="str">
        <f>C2</f>
        <v>ABAKUS</v>
      </c>
      <c r="D583" s="18" t="s">
        <v>470</v>
      </c>
      <c r="E583" s="18" t="s">
        <v>10</v>
      </c>
      <c r="F583" s="18" t="s">
        <v>11</v>
      </c>
      <c r="G583" s="24" t="s">
        <v>498</v>
      </c>
      <c r="H583" s="22" t="s">
        <v>500</v>
      </c>
      <c r="I583" s="22" t="s">
        <v>498</v>
      </c>
      <c r="J583" s="32"/>
      <c r="K583" s="32"/>
    </row>
    <row r="584" spans="1:11">
      <c r="A584" s="37" t="s">
        <v>13</v>
      </c>
      <c r="B584" s="17"/>
      <c r="C584" s="18" t="str">
        <f>C3</f>
        <v>VOTES</v>
      </c>
      <c r="D584" s="18" t="s">
        <v>14</v>
      </c>
      <c r="E584" s="18" t="s">
        <v>14</v>
      </c>
      <c r="F584" s="18" t="s">
        <v>14</v>
      </c>
      <c r="G584" s="24" t="s">
        <v>15</v>
      </c>
      <c r="H584" s="22" t="s">
        <v>272</v>
      </c>
      <c r="I584" s="22" t="s">
        <v>285</v>
      </c>
      <c r="J584" s="32"/>
      <c r="K584" s="32"/>
    </row>
    <row r="585" spans="1:11">
      <c r="A585" s="37"/>
      <c r="B585" s="18" t="s">
        <v>187</v>
      </c>
      <c r="C585" s="18"/>
      <c r="D585" s="19"/>
      <c r="E585" s="19"/>
      <c r="F585" s="30"/>
      <c r="G585" s="31"/>
      <c r="H585" s="30"/>
      <c r="I585" s="30"/>
      <c r="J585" s="32"/>
      <c r="K585" s="32"/>
    </row>
    <row r="586" spans="1:11">
      <c r="A586" s="37"/>
      <c r="B586" s="17"/>
      <c r="C586" s="18"/>
      <c r="D586" s="19"/>
      <c r="E586" s="19"/>
      <c r="F586" s="30"/>
      <c r="G586" s="31"/>
      <c r="H586" s="30"/>
      <c r="I586" s="30"/>
      <c r="J586" s="32"/>
      <c r="K586" s="32"/>
    </row>
    <row r="587" spans="1:11">
      <c r="A587" s="37"/>
      <c r="B587" s="29" t="s">
        <v>16</v>
      </c>
      <c r="C587" s="18"/>
      <c r="D587" s="19"/>
      <c r="E587" s="19"/>
      <c r="F587" s="30"/>
      <c r="G587" s="31"/>
      <c r="H587" s="30"/>
      <c r="I587" s="30"/>
      <c r="J587" s="32"/>
      <c r="K587" s="32"/>
    </row>
    <row r="588" spans="1:11">
      <c r="A588" s="16">
        <v>473190</v>
      </c>
      <c r="B588" s="17" t="s">
        <v>51</v>
      </c>
      <c r="C588" s="18">
        <v>5270</v>
      </c>
      <c r="D588" s="19">
        <v>101936</v>
      </c>
      <c r="E588" s="19">
        <f>F588</f>
        <v>520509</v>
      </c>
      <c r="F588" s="34">
        <f>+A588*0.1+A588</f>
        <v>520509</v>
      </c>
      <c r="G588" s="21">
        <f>+F588*0.1+F588-100000</f>
        <v>472559.9</v>
      </c>
      <c r="H588" s="34">
        <f>+G588*0.1+G588</f>
        <v>519815.89</v>
      </c>
      <c r="I588" s="34">
        <f>+H588*0.1+H588</f>
        <v>571797.47900000005</v>
      </c>
      <c r="J588" s="32"/>
      <c r="K588" s="32"/>
    </row>
    <row r="589" spans="1:11">
      <c r="A589" s="30">
        <f>SUM(A588)</f>
        <v>473190</v>
      </c>
      <c r="B589" s="17"/>
      <c r="C589" s="18"/>
      <c r="D589" s="36">
        <f t="shared" ref="D589:I589" si="299">SUM(D588)</f>
        <v>101936</v>
      </c>
      <c r="E589" s="30">
        <f t="shared" si="299"/>
        <v>520509</v>
      </c>
      <c r="F589" s="30">
        <f t="shared" si="299"/>
        <v>520509</v>
      </c>
      <c r="G589" s="31">
        <f t="shared" si="299"/>
        <v>472559.9</v>
      </c>
      <c r="H589" s="30">
        <f t="shared" si="299"/>
        <v>519815.89</v>
      </c>
      <c r="I589" s="30">
        <f t="shared" si="299"/>
        <v>571797.47900000005</v>
      </c>
      <c r="J589" s="32"/>
      <c r="K589" s="32"/>
    </row>
    <row r="590" spans="1:11">
      <c r="A590" s="37"/>
      <c r="B590" s="17"/>
      <c r="C590" s="18"/>
      <c r="D590" s="19"/>
      <c r="E590" s="19"/>
      <c r="F590" s="30"/>
      <c r="G590" s="31"/>
      <c r="H590" s="30"/>
      <c r="I590" s="30"/>
      <c r="J590" s="32"/>
      <c r="K590" s="32"/>
    </row>
    <row r="591" spans="1:11">
      <c r="A591" s="37"/>
      <c r="B591" s="29" t="s">
        <v>22</v>
      </c>
      <c r="C591" s="18"/>
      <c r="D591" s="19"/>
      <c r="E591" s="19"/>
      <c r="F591" s="30"/>
      <c r="G591" s="31"/>
      <c r="H591" s="30"/>
      <c r="I591" s="30"/>
      <c r="J591" s="32"/>
      <c r="K591" s="32"/>
    </row>
    <row r="592" spans="1:11">
      <c r="A592" s="38"/>
      <c r="B592" s="39" t="s">
        <v>23</v>
      </c>
      <c r="C592" s="29"/>
      <c r="D592" s="40"/>
      <c r="E592" s="40"/>
      <c r="F592" s="30"/>
      <c r="G592" s="31"/>
      <c r="H592" s="30"/>
      <c r="I592" s="30"/>
      <c r="J592" s="32"/>
      <c r="K592" s="32"/>
    </row>
    <row r="593" spans="1:11">
      <c r="A593" s="16">
        <v>66105</v>
      </c>
      <c r="B593" s="17" t="s">
        <v>54</v>
      </c>
      <c r="C593" s="57">
        <v>6010</v>
      </c>
      <c r="D593" s="36">
        <v>0</v>
      </c>
      <c r="E593" s="36">
        <v>0</v>
      </c>
      <c r="F593" s="34">
        <v>0</v>
      </c>
      <c r="G593" s="21">
        <v>0</v>
      </c>
      <c r="H593" s="34">
        <v>0</v>
      </c>
      <c r="I593" s="34">
        <v>0</v>
      </c>
      <c r="J593" s="32"/>
      <c r="K593" s="32"/>
    </row>
    <row r="594" spans="1:11">
      <c r="A594" s="16">
        <v>4605</v>
      </c>
      <c r="B594" s="17" t="s">
        <v>82</v>
      </c>
      <c r="C594" s="57">
        <v>6030</v>
      </c>
      <c r="D594" s="36">
        <v>0</v>
      </c>
      <c r="E594" s="36">
        <v>0</v>
      </c>
      <c r="F594" s="34">
        <v>0</v>
      </c>
      <c r="G594" s="21">
        <v>0</v>
      </c>
      <c r="H594" s="34">
        <v>0</v>
      </c>
      <c r="I594" s="34">
        <v>0</v>
      </c>
      <c r="J594" s="32"/>
      <c r="K594" s="32"/>
    </row>
    <row r="595" spans="1:11">
      <c r="A595" s="16">
        <v>10985</v>
      </c>
      <c r="B595" s="17" t="s">
        <v>182</v>
      </c>
      <c r="C595" s="57">
        <v>6050</v>
      </c>
      <c r="D595" s="49">
        <v>0</v>
      </c>
      <c r="E595" s="49">
        <v>0</v>
      </c>
      <c r="F595" s="20">
        <v>0</v>
      </c>
      <c r="G595" s="21">
        <v>0</v>
      </c>
      <c r="H595" s="34">
        <v>0</v>
      </c>
      <c r="I595" s="34">
        <v>0</v>
      </c>
      <c r="J595" s="32"/>
      <c r="K595" s="32"/>
    </row>
    <row r="596" spans="1:11">
      <c r="A596" s="16">
        <v>1500</v>
      </c>
      <c r="B596" s="17" t="s">
        <v>29</v>
      </c>
      <c r="C596" s="57">
        <v>6085</v>
      </c>
      <c r="D596" s="36">
        <v>0</v>
      </c>
      <c r="E596" s="36">
        <v>0</v>
      </c>
      <c r="F596" s="34">
        <v>0</v>
      </c>
      <c r="G596" s="21">
        <v>0</v>
      </c>
      <c r="H596" s="34">
        <v>0</v>
      </c>
      <c r="I596" s="34">
        <v>0</v>
      </c>
      <c r="J596" s="32"/>
      <c r="K596" s="32"/>
    </row>
    <row r="597" spans="1:11">
      <c r="A597" s="16">
        <v>25</v>
      </c>
      <c r="B597" s="17" t="s">
        <v>86</v>
      </c>
      <c r="C597" s="57">
        <v>6088</v>
      </c>
      <c r="D597" s="36">
        <v>0</v>
      </c>
      <c r="E597" s="36">
        <v>0</v>
      </c>
      <c r="F597" s="34">
        <v>0</v>
      </c>
      <c r="G597" s="21">
        <v>0</v>
      </c>
      <c r="H597" s="34">
        <v>0</v>
      </c>
      <c r="I597" s="34">
        <v>0</v>
      </c>
      <c r="J597" s="32"/>
      <c r="K597" s="32"/>
    </row>
    <row r="598" spans="1:11">
      <c r="A598" s="16">
        <v>640</v>
      </c>
      <c r="B598" s="17" t="s">
        <v>183</v>
      </c>
      <c r="C598" s="57">
        <v>6087</v>
      </c>
      <c r="D598" s="36">
        <v>0</v>
      </c>
      <c r="E598" s="36">
        <v>0</v>
      </c>
      <c r="F598" s="34">
        <v>0</v>
      </c>
      <c r="G598" s="21">
        <v>0</v>
      </c>
      <c r="H598" s="34">
        <v>0</v>
      </c>
      <c r="I598" s="34">
        <v>0</v>
      </c>
      <c r="J598" s="32"/>
      <c r="K598" s="32"/>
    </row>
    <row r="599" spans="1:11">
      <c r="A599" s="45">
        <f>SUM(A593:A598)</f>
        <v>83860</v>
      </c>
      <c r="B599" s="17"/>
      <c r="C599" s="57"/>
      <c r="D599" s="49">
        <f>SUM(D593:D598)</f>
        <v>0</v>
      </c>
      <c r="E599" s="49">
        <v>0</v>
      </c>
      <c r="F599" s="45">
        <f>SUM(F593:F598)</f>
        <v>0</v>
      </c>
      <c r="G599" s="21">
        <v>0</v>
      </c>
      <c r="H599" s="34">
        <v>0</v>
      </c>
      <c r="I599" s="34">
        <v>0</v>
      </c>
      <c r="J599" s="32"/>
      <c r="K599" s="32"/>
    </row>
    <row r="600" spans="1:11">
      <c r="A600" s="37"/>
      <c r="B600" s="17"/>
      <c r="C600" s="18"/>
      <c r="D600" s="19"/>
      <c r="E600" s="19"/>
      <c r="F600" s="30"/>
      <c r="G600" s="31"/>
      <c r="H600" s="30"/>
      <c r="I600" s="30"/>
      <c r="J600" s="32"/>
      <c r="K600" s="32"/>
    </row>
    <row r="601" spans="1:11">
      <c r="A601" s="38"/>
      <c r="B601" s="39" t="s">
        <v>30</v>
      </c>
      <c r="C601" s="29"/>
      <c r="D601" s="40"/>
      <c r="E601" s="40"/>
      <c r="F601" s="30"/>
      <c r="G601" s="31"/>
      <c r="H601" s="30"/>
      <c r="I601" s="30"/>
      <c r="J601" s="32"/>
      <c r="K601" s="32"/>
    </row>
    <row r="602" spans="1:11">
      <c r="A602" s="16">
        <v>2120</v>
      </c>
      <c r="B602" s="17" t="s">
        <v>33</v>
      </c>
      <c r="C602" s="57">
        <v>6570</v>
      </c>
      <c r="D602" s="19">
        <v>0</v>
      </c>
      <c r="E602" s="19">
        <f>F602/2</f>
        <v>1166</v>
      </c>
      <c r="F602" s="34">
        <f>+A602*0.1+A602</f>
        <v>2332</v>
      </c>
      <c r="G602" s="21">
        <f>+F602*6.3/100+F602</f>
        <v>2478.9160000000002</v>
      </c>
      <c r="H602" s="34">
        <f>+G602*6.3/100+G602</f>
        <v>2635.087708</v>
      </c>
      <c r="I602" s="34">
        <f>+H602*6.3/100+H602</f>
        <v>2801.0982336040001</v>
      </c>
      <c r="J602" s="32"/>
      <c r="K602" s="32"/>
    </row>
    <row r="603" spans="1:11">
      <c r="A603" s="16">
        <v>1350</v>
      </c>
      <c r="B603" s="17" t="s">
        <v>184</v>
      </c>
      <c r="C603" s="57">
        <v>6690</v>
      </c>
      <c r="D603" s="19"/>
      <c r="E603" s="19">
        <v>0</v>
      </c>
      <c r="F603" s="34">
        <f>+A603*0.1+A603</f>
        <v>1485</v>
      </c>
      <c r="G603" s="21">
        <f t="shared" ref="G603:I603" si="300">+F603*6.3/100+F603</f>
        <v>1578.5550000000001</v>
      </c>
      <c r="H603" s="34">
        <f t="shared" si="300"/>
        <v>1678.0039650000001</v>
      </c>
      <c r="I603" s="34">
        <f t="shared" si="300"/>
        <v>1783.7182147950002</v>
      </c>
      <c r="J603" s="32"/>
      <c r="K603" s="32"/>
    </row>
    <row r="604" spans="1:11">
      <c r="A604" s="16">
        <f t="shared" ref="A604:A607" si="301">+F604</f>
        <v>100000</v>
      </c>
      <c r="B604" s="17" t="s">
        <v>188</v>
      </c>
      <c r="C604" s="57">
        <v>6695</v>
      </c>
      <c r="D604" s="19">
        <v>0</v>
      </c>
      <c r="E604" s="19">
        <v>100000</v>
      </c>
      <c r="F604" s="34">
        <v>100000</v>
      </c>
      <c r="G604" s="21">
        <v>150000</v>
      </c>
      <c r="H604" s="34">
        <f t="shared" ref="H604:I604" si="302">+G604*6.3/100+G604</f>
        <v>159450</v>
      </c>
      <c r="I604" s="34">
        <f t="shared" si="302"/>
        <v>169495.35</v>
      </c>
      <c r="J604" s="32"/>
      <c r="K604" s="32"/>
    </row>
    <row r="605" spans="1:11">
      <c r="A605" s="37">
        <f t="shared" si="301"/>
        <v>200000</v>
      </c>
      <c r="B605" s="44" t="s">
        <v>189</v>
      </c>
      <c r="C605" s="18">
        <v>6665</v>
      </c>
      <c r="D605" s="19">
        <v>11789.63</v>
      </c>
      <c r="E605" s="19">
        <f>F605</f>
        <v>200000</v>
      </c>
      <c r="F605" s="30">
        <v>200000</v>
      </c>
      <c r="G605" s="31">
        <v>650000</v>
      </c>
      <c r="H605" s="30">
        <v>400000</v>
      </c>
      <c r="I605" s="30">
        <v>400000</v>
      </c>
      <c r="J605" s="61"/>
      <c r="K605" s="32"/>
    </row>
    <row r="606" spans="1:11">
      <c r="A606" s="16">
        <f t="shared" si="301"/>
        <v>2000</v>
      </c>
      <c r="B606" s="60" t="s">
        <v>39</v>
      </c>
      <c r="C606" s="57">
        <v>6990</v>
      </c>
      <c r="D606" s="19">
        <v>0</v>
      </c>
      <c r="E606" s="19">
        <f>F606</f>
        <v>2000</v>
      </c>
      <c r="F606" s="34">
        <v>2000</v>
      </c>
      <c r="G606" s="21">
        <f t="shared" ref="G606:I606" si="303">+F606*6.3/100+F606</f>
        <v>2126</v>
      </c>
      <c r="H606" s="34">
        <v>0</v>
      </c>
      <c r="I606" s="34">
        <f t="shared" si="303"/>
        <v>0</v>
      </c>
      <c r="J606" s="32"/>
      <c r="K606" s="32"/>
    </row>
    <row r="607" spans="1:11">
      <c r="A607" s="16">
        <f t="shared" si="301"/>
        <v>0</v>
      </c>
      <c r="B607" s="17" t="s">
        <v>65</v>
      </c>
      <c r="C607" s="57">
        <v>7081</v>
      </c>
      <c r="D607" s="19"/>
      <c r="E607" s="19"/>
      <c r="F607" s="34">
        <v>0</v>
      </c>
      <c r="G607" s="21">
        <f t="shared" ref="G607:I607" si="304">+F607*6.3/100+F607</f>
        <v>0</v>
      </c>
      <c r="H607" s="34">
        <f t="shared" si="304"/>
        <v>0</v>
      </c>
      <c r="I607" s="34">
        <f t="shared" si="304"/>
        <v>0</v>
      </c>
      <c r="J607" s="32"/>
      <c r="K607" s="32"/>
    </row>
    <row r="608" spans="1:11">
      <c r="A608" s="45">
        <f>SUM(A602:A607)</f>
        <v>305470</v>
      </c>
      <c r="B608" s="17"/>
      <c r="C608" s="18"/>
      <c r="D608" s="49">
        <f t="shared" ref="D608:I608" si="305">SUM(D602:D607)</f>
        <v>11789.63</v>
      </c>
      <c r="E608" s="45">
        <f t="shared" si="305"/>
        <v>303166</v>
      </c>
      <c r="F608" s="45">
        <f t="shared" si="305"/>
        <v>305817</v>
      </c>
      <c r="G608" s="31">
        <f t="shared" si="305"/>
        <v>806183.47100000002</v>
      </c>
      <c r="H608" s="45">
        <f t="shared" si="305"/>
        <v>563763.09167300002</v>
      </c>
      <c r="I608" s="45">
        <f t="shared" si="305"/>
        <v>574080.16644839896</v>
      </c>
      <c r="J608" s="32"/>
      <c r="K608" s="32"/>
    </row>
    <row r="609" spans="1:11">
      <c r="A609" s="37"/>
      <c r="B609" s="17"/>
      <c r="C609" s="18"/>
      <c r="D609" s="19"/>
      <c r="E609" s="19"/>
      <c r="F609" s="30"/>
      <c r="G609" s="31"/>
      <c r="H609" s="30"/>
      <c r="I609" s="30"/>
      <c r="J609" s="32"/>
      <c r="K609" s="32"/>
    </row>
    <row r="610" spans="1:11">
      <c r="A610" s="45">
        <f>+A608+A599</f>
        <v>389330</v>
      </c>
      <c r="B610" s="39" t="s">
        <v>46</v>
      </c>
      <c r="C610" s="18"/>
      <c r="D610" s="45">
        <f t="shared" ref="D610:I610" si="306">+D608+D599</f>
        <v>11789.63</v>
      </c>
      <c r="E610" s="45">
        <f t="shared" si="306"/>
        <v>303166</v>
      </c>
      <c r="F610" s="45">
        <f t="shared" si="306"/>
        <v>305817</v>
      </c>
      <c r="G610" s="31">
        <f t="shared" si="306"/>
        <v>806183.47100000002</v>
      </c>
      <c r="H610" s="45">
        <f t="shared" si="306"/>
        <v>563763.09167300002</v>
      </c>
      <c r="I610" s="45">
        <f t="shared" si="306"/>
        <v>574080.16644839896</v>
      </c>
      <c r="J610" s="32"/>
      <c r="K610" s="32"/>
    </row>
    <row r="611" spans="1:11">
      <c r="A611" s="45">
        <f>+A589-A610</f>
        <v>83860</v>
      </c>
      <c r="B611" s="44" t="str">
        <f>B60</f>
        <v>NETT AMOUNT</v>
      </c>
      <c r="C611" s="18"/>
      <c r="D611" s="45">
        <f t="shared" ref="D611:I611" si="307">+D589-D610</f>
        <v>90146.37</v>
      </c>
      <c r="E611" s="45">
        <f t="shared" si="307"/>
        <v>217343</v>
      </c>
      <c r="F611" s="45">
        <f t="shared" si="307"/>
        <v>214692</v>
      </c>
      <c r="G611" s="31">
        <f t="shared" si="307"/>
        <v>-333623.571</v>
      </c>
      <c r="H611" s="45">
        <f t="shared" si="307"/>
        <v>-43947.201673000003</v>
      </c>
      <c r="I611" s="45">
        <f t="shared" si="307"/>
        <v>-2282.6874483989086</v>
      </c>
      <c r="J611" s="32"/>
      <c r="K611" s="32"/>
    </row>
    <row r="612" spans="1:11">
      <c r="A612" s="37"/>
      <c r="B612" s="17"/>
      <c r="C612" s="18"/>
      <c r="D612" s="19"/>
      <c r="E612" s="19"/>
      <c r="F612" s="30"/>
      <c r="G612" s="31"/>
      <c r="H612" s="30"/>
      <c r="I612" s="30"/>
      <c r="J612" s="32"/>
      <c r="K612" s="32"/>
    </row>
    <row r="613" spans="1:11">
      <c r="A613" s="37"/>
      <c r="B613" s="17"/>
      <c r="C613" s="18"/>
      <c r="D613" s="19"/>
      <c r="E613" s="19"/>
      <c r="F613" s="37"/>
      <c r="G613" s="50"/>
      <c r="H613" s="30"/>
      <c r="I613" s="30"/>
      <c r="J613" s="32"/>
      <c r="K613" s="32"/>
    </row>
    <row r="614" spans="1:11">
      <c r="A614" s="37" t="s">
        <v>72</v>
      </c>
      <c r="B614" s="17"/>
      <c r="C614" s="18"/>
      <c r="D614" s="18" t="s">
        <v>469</v>
      </c>
      <c r="E614" s="18" t="s">
        <v>473</v>
      </c>
      <c r="F614" s="18" t="s">
        <v>73</v>
      </c>
      <c r="G614" s="24" t="s">
        <v>73</v>
      </c>
      <c r="H614" s="22" t="s">
        <v>651</v>
      </c>
      <c r="I614" s="22" t="s">
        <v>651</v>
      </c>
      <c r="J614" s="32"/>
      <c r="K614" s="32"/>
    </row>
    <row r="615" spans="1:11">
      <c r="A615" s="37" t="s">
        <v>10</v>
      </c>
      <c r="B615" s="29" t="s">
        <v>190</v>
      </c>
      <c r="C615" s="18" t="str">
        <f>C2</f>
        <v>ABAKUS</v>
      </c>
      <c r="D615" s="18" t="s">
        <v>470</v>
      </c>
      <c r="E615" s="18" t="s">
        <v>10</v>
      </c>
      <c r="F615" s="18" t="s">
        <v>11</v>
      </c>
      <c r="G615" s="24" t="s">
        <v>498</v>
      </c>
      <c r="H615" s="22" t="s">
        <v>500</v>
      </c>
      <c r="I615" s="22" t="s">
        <v>498</v>
      </c>
      <c r="J615" s="32"/>
      <c r="K615" s="32"/>
    </row>
    <row r="616" spans="1:11">
      <c r="A616" s="37" t="s">
        <v>13</v>
      </c>
      <c r="B616" s="17"/>
      <c r="C616" s="18" t="str">
        <f>C3</f>
        <v>VOTES</v>
      </c>
      <c r="D616" s="18" t="s">
        <v>14</v>
      </c>
      <c r="E616" s="18" t="s">
        <v>14</v>
      </c>
      <c r="F616" s="18" t="s">
        <v>14</v>
      </c>
      <c r="G616" s="24" t="s">
        <v>15</v>
      </c>
      <c r="H616" s="22" t="s">
        <v>272</v>
      </c>
      <c r="I616" s="22" t="s">
        <v>285</v>
      </c>
      <c r="J616" s="32"/>
      <c r="K616" s="32"/>
    </row>
    <row r="617" spans="1:11">
      <c r="A617" s="37"/>
      <c r="B617" s="18" t="s">
        <v>191</v>
      </c>
      <c r="C617" s="18"/>
      <c r="D617" s="19"/>
      <c r="E617" s="19"/>
      <c r="F617" s="30"/>
      <c r="G617" s="31"/>
      <c r="H617" s="30"/>
      <c r="I617" s="30"/>
      <c r="J617" s="32"/>
      <c r="K617" s="32"/>
    </row>
    <row r="618" spans="1:11">
      <c r="A618" s="37"/>
      <c r="B618" s="17"/>
      <c r="C618" s="18"/>
      <c r="D618" s="19"/>
      <c r="E618" s="19"/>
      <c r="F618" s="30"/>
      <c r="G618" s="31"/>
      <c r="H618" s="30"/>
      <c r="I618" s="30"/>
      <c r="J618" s="32"/>
      <c r="K618" s="32"/>
    </row>
    <row r="619" spans="1:11">
      <c r="A619" s="38"/>
      <c r="B619" s="29" t="s">
        <v>16</v>
      </c>
      <c r="C619" s="29"/>
      <c r="D619" s="40"/>
      <c r="E619" s="40"/>
      <c r="F619" s="30"/>
      <c r="G619" s="31"/>
      <c r="H619" s="30"/>
      <c r="I619" s="30"/>
      <c r="J619" s="32"/>
      <c r="K619" s="32"/>
    </row>
    <row r="620" spans="1:11">
      <c r="A620" s="37"/>
      <c r="B620" s="17"/>
      <c r="C620" s="18"/>
      <c r="D620" s="19"/>
      <c r="E620" s="19"/>
      <c r="F620" s="30"/>
      <c r="G620" s="31"/>
      <c r="H620" s="30"/>
      <c r="I620" s="30"/>
      <c r="J620" s="32"/>
      <c r="K620" s="32"/>
    </row>
    <row r="621" spans="1:11">
      <c r="A621" s="16">
        <v>330000</v>
      </c>
      <c r="B621" s="17" t="s">
        <v>19</v>
      </c>
      <c r="C621" s="18">
        <v>5270</v>
      </c>
      <c r="D621" s="19">
        <v>0</v>
      </c>
      <c r="E621" s="19">
        <f>F621</f>
        <v>363000</v>
      </c>
      <c r="F621" s="20">
        <f>+A621*0.1+A621</f>
        <v>363000</v>
      </c>
      <c r="G621" s="21">
        <f>+F621*6.3/100+F621</f>
        <v>385869</v>
      </c>
      <c r="H621" s="20">
        <f>+G621*6.3/100+G621</f>
        <v>410178.74699999997</v>
      </c>
      <c r="I621" s="20">
        <f>+H621*6.3/100+H621</f>
        <v>436020.00806099997</v>
      </c>
      <c r="J621" s="32"/>
      <c r="K621" s="32"/>
    </row>
    <row r="622" spans="1:11">
      <c r="A622" s="30">
        <f>SUM(A621:A621)</f>
        <v>330000</v>
      </c>
      <c r="B622" s="17"/>
      <c r="C622" s="18"/>
      <c r="D622" s="30">
        <f t="shared" ref="D622:E622" si="308">SUM(D621:D621)</f>
        <v>0</v>
      </c>
      <c r="E622" s="30">
        <f t="shared" si="308"/>
        <v>363000</v>
      </c>
      <c r="F622" s="30">
        <f>SUM(F621:F621)</f>
        <v>363000</v>
      </c>
      <c r="G622" s="31">
        <f>SUM(G621:G621)</f>
        <v>385869</v>
      </c>
      <c r="H622" s="30">
        <f>SUM(H621:H621)</f>
        <v>410178.74699999997</v>
      </c>
      <c r="I622" s="30">
        <f>SUM(I621:I621)</f>
        <v>436020.00806099997</v>
      </c>
      <c r="J622" s="32"/>
      <c r="K622" s="32"/>
    </row>
    <row r="623" spans="1:11">
      <c r="A623" s="37"/>
      <c r="B623" s="29" t="s">
        <v>22</v>
      </c>
      <c r="C623" s="18"/>
      <c r="D623" s="19"/>
      <c r="E623" s="19"/>
      <c r="F623" s="30"/>
      <c r="G623" s="31"/>
      <c r="H623" s="30"/>
      <c r="I623" s="30"/>
      <c r="J623" s="32"/>
      <c r="K623" s="32"/>
    </row>
    <row r="624" spans="1:11">
      <c r="A624" s="38"/>
      <c r="B624" s="39" t="s">
        <v>23</v>
      </c>
      <c r="C624" s="29"/>
      <c r="D624" s="40"/>
      <c r="E624" s="40"/>
      <c r="F624" s="30"/>
      <c r="G624" s="31"/>
      <c r="H624" s="30"/>
      <c r="I624" s="30"/>
      <c r="J624" s="32"/>
      <c r="K624" s="32"/>
    </row>
    <row r="625" spans="1:11">
      <c r="A625" s="45">
        <f>SUM(A624)</f>
        <v>0</v>
      </c>
      <c r="B625" s="17"/>
      <c r="C625" s="18"/>
      <c r="D625" s="19"/>
      <c r="E625" s="19"/>
      <c r="F625" s="45">
        <f>SUM(F624)</f>
        <v>0</v>
      </c>
      <c r="G625" s="31"/>
      <c r="H625" s="45"/>
      <c r="I625" s="45"/>
      <c r="J625" s="32"/>
      <c r="K625" s="32"/>
    </row>
    <row r="626" spans="1:11">
      <c r="A626" s="38"/>
      <c r="B626" s="39" t="s">
        <v>30</v>
      </c>
      <c r="C626" s="29"/>
      <c r="D626" s="40"/>
      <c r="E626" s="40"/>
      <c r="F626" s="34"/>
      <c r="G626" s="21"/>
      <c r="H626" s="34"/>
      <c r="I626" s="34"/>
      <c r="J626" s="32"/>
      <c r="K626" s="32"/>
    </row>
    <row r="627" spans="1:11">
      <c r="A627" s="16">
        <v>30000</v>
      </c>
      <c r="B627" s="17" t="s">
        <v>192</v>
      </c>
      <c r="C627" s="18">
        <v>6450</v>
      </c>
      <c r="D627" s="19">
        <v>0</v>
      </c>
      <c r="E627" s="19">
        <f>+F627/2</f>
        <v>30000</v>
      </c>
      <c r="F627" s="20">
        <v>60000</v>
      </c>
      <c r="G627" s="21">
        <v>0</v>
      </c>
      <c r="H627" s="20">
        <v>70000</v>
      </c>
      <c r="I627" s="20">
        <v>70000</v>
      </c>
      <c r="J627" s="32"/>
      <c r="K627" s="32"/>
    </row>
    <row r="628" spans="1:11">
      <c r="A628" s="16">
        <f>+F628</f>
        <v>250000</v>
      </c>
      <c r="B628" s="17" t="s">
        <v>193</v>
      </c>
      <c r="C628" s="18">
        <v>7130</v>
      </c>
      <c r="D628" s="19">
        <v>19037.2</v>
      </c>
      <c r="E628" s="19">
        <f>+F628</f>
        <v>250000</v>
      </c>
      <c r="F628" s="20">
        <v>250000</v>
      </c>
      <c r="G628" s="21">
        <v>200000</v>
      </c>
      <c r="H628" s="20">
        <v>200000</v>
      </c>
      <c r="I628" s="20">
        <v>200000</v>
      </c>
      <c r="J628" s="32"/>
      <c r="K628" s="32"/>
    </row>
    <row r="629" spans="1:11">
      <c r="A629" s="16">
        <v>0</v>
      </c>
      <c r="B629" s="17" t="s">
        <v>503</v>
      </c>
      <c r="C629" s="18"/>
      <c r="D629" s="19">
        <v>0</v>
      </c>
      <c r="E629" s="19">
        <v>0</v>
      </c>
      <c r="F629" s="20">
        <v>0</v>
      </c>
      <c r="G629" s="21">
        <v>1026720</v>
      </c>
      <c r="H629" s="20">
        <f>+G629</f>
        <v>1026720</v>
      </c>
      <c r="I629" s="20">
        <f>+H629</f>
        <v>1026720</v>
      </c>
      <c r="J629" s="32"/>
      <c r="K629" s="32"/>
    </row>
    <row r="630" spans="1:11">
      <c r="A630" s="45">
        <f>SUM(A627:A628)</f>
        <v>280000</v>
      </c>
      <c r="B630" s="17"/>
      <c r="C630" s="18"/>
      <c r="D630" s="49">
        <f>SUM(D627:D629)</f>
        <v>19037.2</v>
      </c>
      <c r="E630" s="49">
        <f t="shared" ref="E630:I630" si="309">SUM(E627:E629)</f>
        <v>280000</v>
      </c>
      <c r="F630" s="49">
        <f t="shared" si="309"/>
        <v>310000</v>
      </c>
      <c r="G630" s="48">
        <f t="shared" si="309"/>
        <v>1226720</v>
      </c>
      <c r="H630" s="49">
        <f t="shared" si="309"/>
        <v>1296720</v>
      </c>
      <c r="I630" s="49">
        <f t="shared" si="309"/>
        <v>1296720</v>
      </c>
      <c r="J630" s="32"/>
      <c r="K630" s="32"/>
    </row>
    <row r="631" spans="1:11">
      <c r="A631" s="38"/>
      <c r="B631" s="39" t="s">
        <v>67</v>
      </c>
      <c r="C631" s="29"/>
      <c r="D631" s="40"/>
      <c r="E631" s="40"/>
      <c r="F631" s="30"/>
      <c r="G631" s="31"/>
      <c r="H631" s="30"/>
      <c r="I631" s="30"/>
      <c r="J631" s="32"/>
      <c r="K631" s="32"/>
    </row>
    <row r="632" spans="1:11">
      <c r="A632" s="16">
        <v>40000</v>
      </c>
      <c r="B632" s="17" t="s">
        <v>68</v>
      </c>
      <c r="C632" s="18">
        <v>7800</v>
      </c>
      <c r="D632" s="19">
        <v>4722.72</v>
      </c>
      <c r="E632" s="20">
        <v>37853</v>
      </c>
      <c r="F632" s="20">
        <v>37853</v>
      </c>
      <c r="G632" s="21">
        <f>F632*6.3%+37853</f>
        <v>40237.739000000001</v>
      </c>
      <c r="H632" s="20">
        <f t="shared" ref="H632:I632" si="310">G632*6.3%+37853</f>
        <v>40387.977556999998</v>
      </c>
      <c r="I632" s="20">
        <f t="shared" si="310"/>
        <v>40397.442586090998</v>
      </c>
      <c r="J632" s="32"/>
      <c r="K632" s="32"/>
    </row>
    <row r="633" spans="1:11">
      <c r="A633" s="30">
        <f>SUM(A632:A632)</f>
        <v>40000</v>
      </c>
      <c r="B633" s="17"/>
      <c r="C633" s="18"/>
      <c r="D633" s="36">
        <f t="shared" ref="D633:I633" si="311">SUM(D632:D632)</f>
        <v>4722.72</v>
      </c>
      <c r="E633" s="30">
        <f t="shared" si="311"/>
        <v>37853</v>
      </c>
      <c r="F633" s="30">
        <f t="shared" si="311"/>
        <v>37853</v>
      </c>
      <c r="G633" s="31">
        <f t="shared" si="311"/>
        <v>40237.739000000001</v>
      </c>
      <c r="H633" s="30">
        <f t="shared" si="311"/>
        <v>40387.977556999998</v>
      </c>
      <c r="I633" s="30">
        <f t="shared" si="311"/>
        <v>40397.442586090998</v>
      </c>
      <c r="J633" s="32"/>
      <c r="K633" s="32"/>
    </row>
    <row r="634" spans="1:11">
      <c r="A634" s="37"/>
      <c r="B634" s="17"/>
      <c r="C634" s="18"/>
      <c r="D634" s="19"/>
      <c r="E634" s="19"/>
      <c r="F634" s="30"/>
      <c r="G634" s="31"/>
      <c r="H634" s="30"/>
      <c r="I634" s="30"/>
      <c r="J634" s="32"/>
      <c r="K634" s="32"/>
    </row>
    <row r="635" spans="1:11">
      <c r="A635" s="45">
        <f>+A633+A630+A625</f>
        <v>320000</v>
      </c>
      <c r="B635" s="39" t="s">
        <v>46</v>
      </c>
      <c r="C635" s="18"/>
      <c r="D635" s="45">
        <f t="shared" ref="D635:E635" si="312">+D633+D630+D625</f>
        <v>23759.920000000002</v>
      </c>
      <c r="E635" s="45">
        <f t="shared" si="312"/>
        <v>317853</v>
      </c>
      <c r="F635" s="45">
        <f>+F633+F630+F625</f>
        <v>347853</v>
      </c>
      <c r="G635" s="31">
        <f t="shared" ref="G635:I635" si="313">+G633+G630+G625</f>
        <v>1266957.7390000001</v>
      </c>
      <c r="H635" s="45">
        <f t="shared" si="313"/>
        <v>1337107.977557</v>
      </c>
      <c r="I635" s="45">
        <f t="shared" si="313"/>
        <v>1337117.4425860909</v>
      </c>
      <c r="J635" s="32"/>
      <c r="K635" s="32"/>
    </row>
    <row r="636" spans="1:11">
      <c r="A636" s="45">
        <f>+A622-A635</f>
        <v>10000</v>
      </c>
      <c r="B636" s="44" t="str">
        <f>B60</f>
        <v>NETT AMOUNT</v>
      </c>
      <c r="C636" s="18"/>
      <c r="D636" s="45">
        <f t="shared" ref="D636:E636" si="314">+D622-D635</f>
        <v>-23759.920000000002</v>
      </c>
      <c r="E636" s="45">
        <f t="shared" si="314"/>
        <v>45147</v>
      </c>
      <c r="F636" s="45">
        <f>+F622-F635</f>
        <v>15147</v>
      </c>
      <c r="G636" s="31">
        <f t="shared" ref="G636:I636" si="315">+G622-G635</f>
        <v>-881088.73900000006</v>
      </c>
      <c r="H636" s="45">
        <f t="shared" si="315"/>
        <v>-926929.23055700003</v>
      </c>
      <c r="I636" s="45">
        <f t="shared" si="315"/>
        <v>-901097.43452509097</v>
      </c>
      <c r="J636" s="32"/>
      <c r="K636" s="32"/>
    </row>
    <row r="637" spans="1:11">
      <c r="A637" s="37"/>
      <c r="B637" s="17"/>
      <c r="C637" s="18"/>
      <c r="D637" s="19"/>
      <c r="E637" s="19"/>
      <c r="F637" s="30"/>
      <c r="G637" s="31"/>
      <c r="H637" s="30"/>
      <c r="I637" s="30"/>
      <c r="J637" s="32"/>
      <c r="K637" s="32"/>
    </row>
    <row r="638" spans="1:11">
      <c r="A638" s="37"/>
      <c r="B638" s="17"/>
      <c r="C638" s="18"/>
      <c r="D638" s="19"/>
      <c r="E638" s="19"/>
      <c r="F638" s="37"/>
      <c r="G638" s="50"/>
      <c r="H638" s="30"/>
      <c r="I638" s="30"/>
      <c r="J638" s="32"/>
      <c r="K638" s="32"/>
    </row>
    <row r="639" spans="1:11">
      <c r="A639" s="37" t="s">
        <v>72</v>
      </c>
      <c r="B639" s="17"/>
      <c r="C639" s="18"/>
      <c r="D639" s="18" t="s">
        <v>469</v>
      </c>
      <c r="E639" s="18" t="s">
        <v>473</v>
      </c>
      <c r="F639" s="18" t="s">
        <v>73</v>
      </c>
      <c r="G639" s="24" t="s">
        <v>73</v>
      </c>
      <c r="H639" s="22" t="s">
        <v>651</v>
      </c>
      <c r="I639" s="22" t="s">
        <v>651</v>
      </c>
      <c r="J639" s="32"/>
      <c r="K639" s="32"/>
    </row>
    <row r="640" spans="1:11">
      <c r="A640" s="37" t="s">
        <v>10</v>
      </c>
      <c r="B640" s="29" t="s">
        <v>194</v>
      </c>
      <c r="C640" s="18" t="str">
        <f>C2</f>
        <v>ABAKUS</v>
      </c>
      <c r="D640" s="18" t="s">
        <v>470</v>
      </c>
      <c r="E640" s="18" t="s">
        <v>10</v>
      </c>
      <c r="F640" s="18" t="s">
        <v>11</v>
      </c>
      <c r="G640" s="24" t="s">
        <v>498</v>
      </c>
      <c r="H640" s="22" t="s">
        <v>500</v>
      </c>
      <c r="I640" s="22" t="s">
        <v>498</v>
      </c>
      <c r="J640" s="32"/>
      <c r="K640" s="32"/>
    </row>
    <row r="641" spans="1:11">
      <c r="A641" s="37" t="s">
        <v>13</v>
      </c>
      <c r="B641" s="17"/>
      <c r="C641" s="18" t="str">
        <f>C3</f>
        <v>VOTES</v>
      </c>
      <c r="D641" s="18" t="s">
        <v>14</v>
      </c>
      <c r="E641" s="18" t="s">
        <v>14</v>
      </c>
      <c r="F641" s="18" t="s">
        <v>14</v>
      </c>
      <c r="G641" s="24" t="s">
        <v>15</v>
      </c>
      <c r="H641" s="22" t="s">
        <v>272</v>
      </c>
      <c r="I641" s="22" t="s">
        <v>285</v>
      </c>
      <c r="J641" s="32"/>
      <c r="K641" s="32"/>
    </row>
    <row r="642" spans="1:11">
      <c r="A642" s="37"/>
      <c r="B642" s="18" t="s">
        <v>195</v>
      </c>
      <c r="C642" s="18"/>
      <c r="D642" s="19"/>
      <c r="E642" s="19"/>
      <c r="F642" s="30"/>
      <c r="G642" s="31"/>
      <c r="H642" s="30"/>
      <c r="I642" s="30"/>
      <c r="J642" s="32"/>
      <c r="K642" s="32"/>
    </row>
    <row r="643" spans="1:11">
      <c r="A643" s="38"/>
      <c r="B643" s="29" t="s">
        <v>16</v>
      </c>
      <c r="C643" s="29"/>
      <c r="D643" s="40"/>
      <c r="E643" s="40"/>
      <c r="F643" s="30"/>
      <c r="G643" s="31"/>
      <c r="H643" s="30"/>
      <c r="I643" s="30"/>
      <c r="J643" s="32"/>
      <c r="K643" s="32"/>
    </row>
    <row r="644" spans="1:11">
      <c r="A644" s="16">
        <v>2830010</v>
      </c>
      <c r="B644" s="17" t="s">
        <v>51</v>
      </c>
      <c r="C644" s="18">
        <v>5270</v>
      </c>
      <c r="D644" s="19">
        <v>3613011</v>
      </c>
      <c r="E644" s="19">
        <f>+F644</f>
        <v>3613011</v>
      </c>
      <c r="F644" s="20">
        <f>+A644*0.1+A644+500000</f>
        <v>3613011</v>
      </c>
      <c r="G644" s="21">
        <f>+F644*0.1+F644-100000-86220+250000</f>
        <v>4038092.1</v>
      </c>
      <c r="H644" s="20">
        <f>+G644*0.1+G644</f>
        <v>4441901.3100000005</v>
      </c>
      <c r="I644" s="20">
        <f>+H644*0.1+H644</f>
        <v>4886091.4410000006</v>
      </c>
      <c r="J644" s="32"/>
      <c r="K644" s="32"/>
    </row>
    <row r="645" spans="1:11">
      <c r="A645" s="30">
        <f>SUM(A644:A644)</f>
        <v>2830010</v>
      </c>
      <c r="B645" s="17"/>
      <c r="C645" s="18"/>
      <c r="D645" s="30">
        <f t="shared" ref="D645:E645" si="316">SUM(D644:D644)</f>
        <v>3613011</v>
      </c>
      <c r="E645" s="30">
        <f t="shared" si="316"/>
        <v>3613011</v>
      </c>
      <c r="F645" s="30">
        <f>SUM(F644:F644)</f>
        <v>3613011</v>
      </c>
      <c r="G645" s="31">
        <f t="shared" ref="G645:I645" si="317">SUM(G644:G644)</f>
        <v>4038092.1</v>
      </c>
      <c r="H645" s="30">
        <f t="shared" si="317"/>
        <v>4441901.3100000005</v>
      </c>
      <c r="I645" s="30">
        <f t="shared" si="317"/>
        <v>4886091.4410000006</v>
      </c>
      <c r="J645" s="32"/>
      <c r="K645" s="32"/>
    </row>
    <row r="646" spans="1:11">
      <c r="A646" s="37"/>
      <c r="B646" s="29" t="s">
        <v>22</v>
      </c>
      <c r="C646" s="18"/>
      <c r="D646" s="19"/>
      <c r="E646" s="19"/>
      <c r="F646" s="30"/>
      <c r="G646" s="31"/>
      <c r="H646" s="30"/>
      <c r="I646" s="30"/>
      <c r="J646" s="32"/>
      <c r="K646" s="32"/>
    </row>
    <row r="647" spans="1:11">
      <c r="A647" s="38"/>
      <c r="B647" s="39" t="s">
        <v>23</v>
      </c>
      <c r="C647" s="29"/>
      <c r="D647" s="40"/>
      <c r="E647" s="40"/>
      <c r="F647" s="30"/>
      <c r="G647" s="31"/>
      <c r="H647" s="30"/>
      <c r="I647" s="30"/>
      <c r="J647" s="32"/>
      <c r="K647" s="32"/>
    </row>
    <row r="648" spans="1:11">
      <c r="A648" s="16">
        <v>1168165.8400000001</v>
      </c>
      <c r="B648" s="17" t="s">
        <v>81</v>
      </c>
      <c r="C648" s="18">
        <v>6010</v>
      </c>
      <c r="D648" s="19">
        <v>478255.45</v>
      </c>
      <c r="E648" s="19">
        <f>+F648</f>
        <v>1013169.68</v>
      </c>
      <c r="F648" s="20">
        <f>+'[1]STAFF SALARIES SUMMARY'!C17+'[1]STAFF SALARIES SUMMARY'!D17</f>
        <v>1013169.68</v>
      </c>
      <c r="G648" s="21">
        <f>+F648*8.3/100+F648</f>
        <v>1097262.7634400001</v>
      </c>
      <c r="H648" s="20">
        <f>+G648*6.3/100+G648</f>
        <v>1166390.3175367201</v>
      </c>
      <c r="I648" s="20">
        <f>+H648*6.3/100+H648</f>
        <v>1239872.9075415335</v>
      </c>
      <c r="J648" s="32"/>
      <c r="K648" s="32"/>
    </row>
    <row r="649" spans="1:11">
      <c r="A649" s="16">
        <v>37462.800000000003</v>
      </c>
      <c r="B649" s="17" t="s">
        <v>82</v>
      </c>
      <c r="C649" s="18">
        <v>6030</v>
      </c>
      <c r="D649" s="19">
        <v>10638</v>
      </c>
      <c r="E649" s="19">
        <f>+F649</f>
        <v>23509.98</v>
      </c>
      <c r="F649" s="20">
        <f>+'[1]STAFF SALARIES SUMMARY'!I17</f>
        <v>23509.98</v>
      </c>
      <c r="G649" s="21">
        <f t="shared" ref="G649:G655" si="318">+F649*8.3/100+F649</f>
        <v>25461.30834</v>
      </c>
      <c r="H649" s="20">
        <f t="shared" ref="H649:I649" si="319">+G649*6.3/100+G649</f>
        <v>27065.370765420001</v>
      </c>
      <c r="I649" s="20">
        <f t="shared" si="319"/>
        <v>28770.489123641462</v>
      </c>
      <c r="J649" s="32"/>
      <c r="K649" s="32"/>
    </row>
    <row r="650" spans="1:11">
      <c r="A650" s="16">
        <v>163700.25</v>
      </c>
      <c r="B650" s="17" t="s">
        <v>83</v>
      </c>
      <c r="C650" s="18">
        <v>6040</v>
      </c>
      <c r="D650" s="19">
        <v>66833.23</v>
      </c>
      <c r="E650" s="19">
        <f>+D650*2</f>
        <v>133666.46</v>
      </c>
      <c r="F650" s="34">
        <f>+'[1]STAFF SALARIES SUMMARY'!G17</f>
        <v>203564.33</v>
      </c>
      <c r="G650" s="21">
        <f t="shared" si="318"/>
        <v>220460.16939</v>
      </c>
      <c r="H650" s="20">
        <f t="shared" ref="H650:I650" si="320">+G650*6.3/100+G650</f>
        <v>234349.16006157</v>
      </c>
      <c r="I650" s="20">
        <f t="shared" si="320"/>
        <v>249113.1571454489</v>
      </c>
      <c r="J650" s="32"/>
      <c r="K650" s="32"/>
    </row>
    <row r="651" spans="1:11">
      <c r="A651" s="16">
        <v>247656.86</v>
      </c>
      <c r="B651" s="17" t="s">
        <v>115</v>
      </c>
      <c r="C651" s="18">
        <v>6050</v>
      </c>
      <c r="D651" s="19">
        <v>106161.12</v>
      </c>
      <c r="E651" s="19">
        <f>+D651*2</f>
        <v>212322.24</v>
      </c>
      <c r="F651" s="20">
        <f>+'[1]STAFF SALARIES SUMMARY'!E17</f>
        <v>0</v>
      </c>
      <c r="G651" s="21">
        <f t="shared" si="318"/>
        <v>0</v>
      </c>
      <c r="H651" s="20">
        <f t="shared" ref="H651:I651" si="321">+G651*6.3/100+G651</f>
        <v>0</v>
      </c>
      <c r="I651" s="20">
        <f t="shared" si="321"/>
        <v>0</v>
      </c>
      <c r="J651" s="32"/>
      <c r="K651" s="32"/>
    </row>
    <row r="652" spans="1:11">
      <c r="A652" s="16">
        <v>48069.39</v>
      </c>
      <c r="B652" s="17" t="s">
        <v>85</v>
      </c>
      <c r="C652" s="18">
        <v>6070</v>
      </c>
      <c r="D652" s="19">
        <v>9109.98</v>
      </c>
      <c r="E652" s="19">
        <f>+D652*2</f>
        <v>18219.96</v>
      </c>
      <c r="F652" s="20">
        <v>0</v>
      </c>
      <c r="G652" s="21">
        <f t="shared" si="318"/>
        <v>0</v>
      </c>
      <c r="H652" s="20">
        <f t="shared" ref="H652:I652" si="322">+G652*6.3/100+G652</f>
        <v>0</v>
      </c>
      <c r="I652" s="20">
        <f t="shared" si="322"/>
        <v>0</v>
      </c>
      <c r="J652" s="32"/>
      <c r="K652" s="32"/>
    </row>
    <row r="653" spans="1:11">
      <c r="A653" s="16">
        <v>12440.6</v>
      </c>
      <c r="B653" s="17" t="s">
        <v>29</v>
      </c>
      <c r="C653" s="18">
        <v>6085</v>
      </c>
      <c r="D653" s="19">
        <v>5282.98</v>
      </c>
      <c r="E653" s="19">
        <f>+F653</f>
        <v>12499.8</v>
      </c>
      <c r="F653" s="20">
        <f>+'[1]STAFF SALARIES SUMMARY'!F17</f>
        <v>12499.8</v>
      </c>
      <c r="G653" s="21">
        <f t="shared" si="318"/>
        <v>13537.2834</v>
      </c>
      <c r="H653" s="20">
        <f t="shared" ref="H653:I653" si="323">+G653*6.3/100+G653</f>
        <v>14390.1322542</v>
      </c>
      <c r="I653" s="20">
        <f t="shared" si="323"/>
        <v>15296.7105862146</v>
      </c>
      <c r="J653" s="32"/>
      <c r="K653" s="32"/>
    </row>
    <row r="654" spans="1:11">
      <c r="A654" s="16">
        <v>800</v>
      </c>
      <c r="B654" s="17" t="s">
        <v>117</v>
      </c>
      <c r="C654" s="18">
        <v>6088</v>
      </c>
      <c r="D654" s="19">
        <v>315</v>
      </c>
      <c r="E654" s="19">
        <f>+F654</f>
        <v>884</v>
      </c>
      <c r="F654" s="20">
        <f>+'[1]STAFF SALARIES SUMMARY'!K17</f>
        <v>884</v>
      </c>
      <c r="G654" s="21">
        <f t="shared" si="318"/>
        <v>957.37200000000007</v>
      </c>
      <c r="H654" s="20">
        <f t="shared" ref="H654:I654" si="324">+G654*6.3/100+G654</f>
        <v>1017.6864360000001</v>
      </c>
      <c r="I654" s="20">
        <f t="shared" si="324"/>
        <v>1081.800681468</v>
      </c>
      <c r="J654" s="32"/>
      <c r="K654" s="32"/>
    </row>
    <row r="655" spans="1:11">
      <c r="A655" s="16">
        <v>14021.7</v>
      </c>
      <c r="B655" s="17" t="s">
        <v>61</v>
      </c>
      <c r="C655" s="18">
        <v>6087</v>
      </c>
      <c r="D655" s="19">
        <v>5385.18</v>
      </c>
      <c r="E655" s="19">
        <f>+D655*2</f>
        <v>10770.36</v>
      </c>
      <c r="F655" s="20">
        <f>+'[1]STAFF SALARIES SUMMARY'!J17</f>
        <v>9352.34</v>
      </c>
      <c r="G655" s="21">
        <f t="shared" si="318"/>
        <v>10128.584220000001</v>
      </c>
      <c r="H655" s="20">
        <f t="shared" ref="H655:I655" si="325">+G655*6.3/100+G655</f>
        <v>10766.685025860001</v>
      </c>
      <c r="I655" s="20">
        <f t="shared" si="325"/>
        <v>11444.986182489181</v>
      </c>
      <c r="J655" s="32"/>
      <c r="K655" s="32"/>
    </row>
    <row r="656" spans="1:11">
      <c r="A656" s="45">
        <f>SUM(A648:A655)</f>
        <v>1692317.44</v>
      </c>
      <c r="B656" s="17"/>
      <c r="C656" s="18"/>
      <c r="D656" s="49">
        <f t="shared" ref="D656:I656" si="326">SUM(D648:D655)</f>
        <v>681980.94000000006</v>
      </c>
      <c r="E656" s="45">
        <f t="shared" si="326"/>
        <v>1425042.4800000002</v>
      </c>
      <c r="F656" s="45">
        <f t="shared" si="326"/>
        <v>1262980.1300000001</v>
      </c>
      <c r="G656" s="31">
        <f t="shared" si="326"/>
        <v>1367807.4807900002</v>
      </c>
      <c r="H656" s="45">
        <f t="shared" si="326"/>
        <v>1453979.3520797703</v>
      </c>
      <c r="I656" s="45">
        <f t="shared" si="326"/>
        <v>1545580.0512607959</v>
      </c>
      <c r="J656" s="32"/>
      <c r="K656" s="32"/>
    </row>
    <row r="657" spans="1:11">
      <c r="A657" s="38"/>
      <c r="B657" s="39" t="s">
        <v>30</v>
      </c>
      <c r="C657" s="29"/>
      <c r="D657" s="40"/>
      <c r="E657" s="40"/>
      <c r="F657" s="30"/>
      <c r="G657" s="31"/>
      <c r="H657" s="30"/>
      <c r="I657" s="30"/>
      <c r="J657" s="32"/>
      <c r="K657" s="32"/>
    </row>
    <row r="658" spans="1:11">
      <c r="A658" s="16">
        <v>30000</v>
      </c>
      <c r="B658" s="17" t="s">
        <v>196</v>
      </c>
      <c r="C658" s="18">
        <v>6440</v>
      </c>
      <c r="D658" s="19">
        <v>305.25</v>
      </c>
      <c r="E658" s="19">
        <f>F658/2</f>
        <v>15000</v>
      </c>
      <c r="F658" s="34">
        <v>30000</v>
      </c>
      <c r="G658" s="21">
        <v>0</v>
      </c>
      <c r="H658" s="34">
        <f>G658*6.3%+G658</f>
        <v>0</v>
      </c>
      <c r="I658" s="34">
        <f>H658*6.3%+H658</f>
        <v>0</v>
      </c>
      <c r="J658" s="32"/>
      <c r="K658" s="32"/>
    </row>
    <row r="659" spans="1:11">
      <c r="A659" s="16">
        <v>20000</v>
      </c>
      <c r="B659" s="17" t="s">
        <v>197</v>
      </c>
      <c r="C659" s="18">
        <v>6500</v>
      </c>
      <c r="D659" s="19">
        <v>10140.469999999999</v>
      </c>
      <c r="E659" s="19">
        <f>+F659-150000</f>
        <v>350000</v>
      </c>
      <c r="F659" s="20">
        <v>500000</v>
      </c>
      <c r="G659" s="21">
        <v>0</v>
      </c>
      <c r="H659" s="34">
        <f t="shared" ref="H659:I659" si="327">G659*6.3%+G659</f>
        <v>0</v>
      </c>
      <c r="I659" s="34">
        <f t="shared" si="327"/>
        <v>0</v>
      </c>
      <c r="J659" s="32"/>
      <c r="K659" s="32"/>
    </row>
    <row r="660" spans="1:11">
      <c r="A660" s="16">
        <v>64000</v>
      </c>
      <c r="B660" s="17" t="s">
        <v>90</v>
      </c>
      <c r="C660" s="18">
        <v>6540</v>
      </c>
      <c r="D660" s="19">
        <v>33750.42</v>
      </c>
      <c r="E660" s="19">
        <f>+F660</f>
        <v>64000</v>
      </c>
      <c r="F660" s="20">
        <v>64000</v>
      </c>
      <c r="G660" s="21">
        <f t="shared" ref="G660:I660" si="328">F660*6.3%+F660</f>
        <v>68032</v>
      </c>
      <c r="H660" s="34">
        <f t="shared" si="328"/>
        <v>72318.016000000003</v>
      </c>
      <c r="I660" s="34">
        <f t="shared" si="328"/>
        <v>76874.051008000009</v>
      </c>
      <c r="J660" s="32"/>
      <c r="K660" s="32"/>
    </row>
    <row r="661" spans="1:11">
      <c r="A661" s="16">
        <v>14110</v>
      </c>
      <c r="B661" s="17" t="s">
        <v>33</v>
      </c>
      <c r="C661" s="18">
        <v>6570</v>
      </c>
      <c r="D661" s="19"/>
      <c r="E661" s="19">
        <f>+F661/2</f>
        <v>7055</v>
      </c>
      <c r="F661" s="20">
        <v>14110</v>
      </c>
      <c r="G661" s="21">
        <f>E661</f>
        <v>7055</v>
      </c>
      <c r="H661" s="34">
        <f t="shared" ref="H661:I661" si="329">G661*6.3%+G661</f>
        <v>7499.4650000000001</v>
      </c>
      <c r="I661" s="34">
        <f t="shared" si="329"/>
        <v>7971.9312950000003</v>
      </c>
      <c r="J661" s="32"/>
      <c r="K661" s="32"/>
    </row>
    <row r="662" spans="1:11">
      <c r="A662" s="16">
        <v>12600</v>
      </c>
      <c r="B662" s="17" t="s">
        <v>316</v>
      </c>
      <c r="C662" s="18">
        <v>7090</v>
      </c>
      <c r="D662" s="19">
        <v>14422</v>
      </c>
      <c r="E662" s="19">
        <v>20000</v>
      </c>
      <c r="F662" s="20">
        <f>+A662*0.1+A662</f>
        <v>13860</v>
      </c>
      <c r="G662" s="21">
        <f>E662</f>
        <v>20000</v>
      </c>
      <c r="H662" s="34">
        <f t="shared" ref="H662:I662" si="330">G662*6.3%+G662</f>
        <v>21260</v>
      </c>
      <c r="I662" s="34">
        <f t="shared" si="330"/>
        <v>22599.38</v>
      </c>
      <c r="J662" s="32"/>
      <c r="K662" s="32"/>
    </row>
    <row r="663" spans="1:11">
      <c r="A663" s="16">
        <v>0</v>
      </c>
      <c r="B663" s="17" t="s">
        <v>92</v>
      </c>
      <c r="C663" s="18">
        <v>6630</v>
      </c>
      <c r="D663" s="19">
        <v>0</v>
      </c>
      <c r="E663" s="19">
        <v>0</v>
      </c>
      <c r="F663" s="20">
        <v>0</v>
      </c>
      <c r="G663" s="21">
        <f t="shared" ref="G663:I663" si="331">F663*6.3%+F663</f>
        <v>0</v>
      </c>
      <c r="H663" s="34">
        <f t="shared" si="331"/>
        <v>0</v>
      </c>
      <c r="I663" s="34">
        <f t="shared" si="331"/>
        <v>0</v>
      </c>
      <c r="J663" s="32"/>
      <c r="K663" s="32"/>
    </row>
    <row r="664" spans="1:11">
      <c r="A664" s="16">
        <v>8900</v>
      </c>
      <c r="B664" s="17" t="s">
        <v>62</v>
      </c>
      <c r="C664" s="18">
        <v>6690</v>
      </c>
      <c r="D664" s="19">
        <v>0</v>
      </c>
      <c r="E664" s="19">
        <v>0</v>
      </c>
      <c r="F664" s="20">
        <f>+A664*0.1+A664</f>
        <v>9790</v>
      </c>
      <c r="G664" s="21">
        <f>F664/2</f>
        <v>4895</v>
      </c>
      <c r="H664" s="34">
        <f t="shared" ref="H664:I664" si="332">G664*6.3%+G664</f>
        <v>5203.3850000000002</v>
      </c>
      <c r="I664" s="34">
        <f t="shared" si="332"/>
        <v>5531.1982550000002</v>
      </c>
      <c r="J664" s="32"/>
      <c r="K664" s="32"/>
    </row>
    <row r="665" spans="1:11">
      <c r="A665" s="16">
        <v>105000</v>
      </c>
      <c r="B665" s="17" t="s">
        <v>155</v>
      </c>
      <c r="C665" s="18">
        <v>6930</v>
      </c>
      <c r="D665" s="19">
        <v>1314.91</v>
      </c>
      <c r="E665" s="19">
        <f>+D665*2</f>
        <v>2629.82</v>
      </c>
      <c r="F665" s="20">
        <v>105000</v>
      </c>
      <c r="G665" s="21">
        <f>E665</f>
        <v>2629.82</v>
      </c>
      <c r="H665" s="34">
        <f t="shared" ref="H665:I665" si="333">G665*6.3%+G665</f>
        <v>2795.4986600000002</v>
      </c>
      <c r="I665" s="34">
        <f t="shared" si="333"/>
        <v>2971.6150755800004</v>
      </c>
      <c r="J665" s="32"/>
      <c r="K665" s="32"/>
    </row>
    <row r="666" spans="1:11">
      <c r="A666" s="16">
        <v>5300</v>
      </c>
      <c r="B666" s="17" t="s">
        <v>199</v>
      </c>
      <c r="C666" s="18">
        <v>6970</v>
      </c>
      <c r="D666" s="19"/>
      <c r="E666" s="19">
        <v>0</v>
      </c>
      <c r="F666" s="20">
        <v>0</v>
      </c>
      <c r="G666" s="21">
        <f t="shared" ref="G666:I666" si="334">F666*6.3%+F666</f>
        <v>0</v>
      </c>
      <c r="H666" s="34">
        <f t="shared" si="334"/>
        <v>0</v>
      </c>
      <c r="I666" s="34">
        <f t="shared" si="334"/>
        <v>0</v>
      </c>
      <c r="J666" s="32"/>
      <c r="K666" s="32"/>
    </row>
    <row r="667" spans="1:11">
      <c r="A667" s="16">
        <v>0</v>
      </c>
      <c r="B667" s="17" t="s">
        <v>39</v>
      </c>
      <c r="C667" s="18">
        <v>6990</v>
      </c>
      <c r="D667" s="19"/>
      <c r="E667" s="19">
        <v>0</v>
      </c>
      <c r="F667" s="20">
        <v>0</v>
      </c>
      <c r="G667" s="21">
        <f t="shared" ref="G667:I667" si="335">F667*6.3%+F667</f>
        <v>0</v>
      </c>
      <c r="H667" s="34">
        <f t="shared" si="335"/>
        <v>0</v>
      </c>
      <c r="I667" s="34">
        <f t="shared" si="335"/>
        <v>0</v>
      </c>
      <c r="J667" s="32"/>
      <c r="K667" s="32"/>
    </row>
    <row r="668" spans="1:11">
      <c r="A668" s="16">
        <v>9516.9599999999991</v>
      </c>
      <c r="B668" s="17" t="s">
        <v>63</v>
      </c>
      <c r="C668" s="18">
        <v>7020</v>
      </c>
      <c r="D668" s="19">
        <v>11020.46</v>
      </c>
      <c r="E668" s="19">
        <f>+D668*2</f>
        <v>22040.92</v>
      </c>
      <c r="F668" s="20">
        <f>+A668</f>
        <v>9516.9599999999991</v>
      </c>
      <c r="G668" s="21">
        <f>E668</f>
        <v>22040.92</v>
      </c>
      <c r="H668" s="34">
        <f t="shared" ref="H668:I668" si="336">G668*6.3%+G668</f>
        <v>23429.497959999997</v>
      </c>
      <c r="I668" s="34">
        <f t="shared" si="336"/>
        <v>24905.556331479998</v>
      </c>
      <c r="J668" s="32"/>
      <c r="K668" s="32"/>
    </row>
    <row r="669" spans="1:11">
      <c r="A669" s="16">
        <v>5336.26</v>
      </c>
      <c r="B669" s="17" t="s">
        <v>200</v>
      </c>
      <c r="C669" s="18">
        <v>7030</v>
      </c>
      <c r="D669" s="19">
        <v>1145.6099999999999</v>
      </c>
      <c r="E669" s="19">
        <f>F669</f>
        <v>5336.26</v>
      </c>
      <c r="F669" s="20">
        <f>+A669</f>
        <v>5336.26</v>
      </c>
      <c r="G669" s="21">
        <f t="shared" ref="G669:I669" si="337">F669*6.3%+F669</f>
        <v>5672.4443799999999</v>
      </c>
      <c r="H669" s="34">
        <f t="shared" si="337"/>
        <v>6029.8083759399997</v>
      </c>
      <c r="I669" s="34">
        <f t="shared" si="337"/>
        <v>6409.6863036242194</v>
      </c>
      <c r="J669" s="32"/>
      <c r="K669" s="32"/>
    </row>
    <row r="670" spans="1:11">
      <c r="A670" s="16">
        <v>6000</v>
      </c>
      <c r="B670" s="17" t="s">
        <v>40</v>
      </c>
      <c r="C670" s="18">
        <v>7070</v>
      </c>
      <c r="D670" s="19">
        <v>30187.16</v>
      </c>
      <c r="E670" s="19">
        <f>+D670*2</f>
        <v>60374.32</v>
      </c>
      <c r="F670" s="20">
        <v>6000</v>
      </c>
      <c r="G670" s="21">
        <f>E670</f>
        <v>60374.32</v>
      </c>
      <c r="H670" s="34">
        <f t="shared" ref="H670:I670" si="338">G670*6.3%+G670</f>
        <v>64177.902159999998</v>
      </c>
      <c r="I670" s="34">
        <f t="shared" si="338"/>
        <v>68221.109996079991</v>
      </c>
      <c r="J670" s="32"/>
      <c r="K670" s="32"/>
    </row>
    <row r="671" spans="1:11">
      <c r="A671" s="16">
        <v>31000</v>
      </c>
      <c r="B671" s="17" t="s">
        <v>65</v>
      </c>
      <c r="C671" s="18">
        <v>7081</v>
      </c>
      <c r="D671" s="19">
        <v>4483.16</v>
      </c>
      <c r="E671" s="19">
        <f>F671/2</f>
        <v>15500</v>
      </c>
      <c r="F671" s="20">
        <v>31000</v>
      </c>
      <c r="G671" s="21">
        <f>E671</f>
        <v>15500</v>
      </c>
      <c r="H671" s="34">
        <f t="shared" ref="H671:I671" si="339">G671*6.3%+G671</f>
        <v>16476.5</v>
      </c>
      <c r="I671" s="34">
        <f t="shared" si="339"/>
        <v>17514.519499999999</v>
      </c>
      <c r="J671" s="32"/>
      <c r="K671" s="32"/>
    </row>
    <row r="672" spans="1:11">
      <c r="A672" s="16">
        <v>0</v>
      </c>
      <c r="B672" s="17" t="s">
        <v>277</v>
      </c>
      <c r="C672" s="18">
        <v>6528</v>
      </c>
      <c r="D672" s="19">
        <v>59027.37</v>
      </c>
      <c r="E672" s="19">
        <f>+D672*3</f>
        <v>177082.11000000002</v>
      </c>
      <c r="F672" s="20">
        <v>700000</v>
      </c>
      <c r="G672" s="21">
        <v>150000</v>
      </c>
      <c r="H672" s="34">
        <f t="shared" ref="H672:I672" si="340">G672*6.3%+G672</f>
        <v>159450</v>
      </c>
      <c r="I672" s="34">
        <f t="shared" si="340"/>
        <v>169495.35</v>
      </c>
      <c r="J672" s="32"/>
      <c r="K672" s="32"/>
    </row>
    <row r="673" spans="1:11">
      <c r="A673" s="45">
        <f>SUM(A658:A672)</f>
        <v>311763.22000000003</v>
      </c>
      <c r="B673" s="17"/>
      <c r="C673" s="18"/>
      <c r="D673" s="49">
        <f t="shared" ref="D673:I673" si="341">SUM(D658:D672)</f>
        <v>165796.81000000003</v>
      </c>
      <c r="E673" s="45">
        <f t="shared" si="341"/>
        <v>739018.42999999993</v>
      </c>
      <c r="F673" s="45">
        <f t="shared" si="341"/>
        <v>1488613.22</v>
      </c>
      <c r="G673" s="31">
        <f t="shared" si="341"/>
        <v>356199.50438</v>
      </c>
      <c r="H673" s="45">
        <f t="shared" si="341"/>
        <v>378640.07315593999</v>
      </c>
      <c r="I673" s="45">
        <f t="shared" si="341"/>
        <v>402494.39776476426</v>
      </c>
      <c r="J673" s="32"/>
      <c r="K673" s="32"/>
    </row>
    <row r="674" spans="1:11">
      <c r="A674" s="38"/>
      <c r="B674" s="39" t="s">
        <v>69</v>
      </c>
      <c r="C674" s="29"/>
      <c r="D674" s="40"/>
      <c r="E674" s="40"/>
      <c r="F674" s="30"/>
      <c r="G674" s="31"/>
      <c r="H674" s="30"/>
      <c r="I674" s="30"/>
      <c r="J674" s="32"/>
      <c r="K674" s="32"/>
    </row>
    <row r="675" spans="1:11">
      <c r="A675" s="16">
        <v>108000</v>
      </c>
      <c r="B675" s="17" t="s">
        <v>201</v>
      </c>
      <c r="C675" s="18">
        <v>7230</v>
      </c>
      <c r="D675" s="19">
        <v>390.79</v>
      </c>
      <c r="E675" s="19">
        <f>F675/2</f>
        <v>54000</v>
      </c>
      <c r="F675" s="20">
        <v>108000</v>
      </c>
      <c r="G675" s="21">
        <f>+F675*6.3/100+F675</f>
        <v>114804</v>
      </c>
      <c r="H675" s="34">
        <f>+G675*6.3/100+G675</f>
        <v>122036.652</v>
      </c>
      <c r="I675" s="34">
        <f>+H675*6.3/100+H675</f>
        <v>129724.96107600001</v>
      </c>
      <c r="J675" s="32"/>
      <c r="K675" s="32"/>
    </row>
    <row r="676" spans="1:11">
      <c r="A676" s="16">
        <v>55000</v>
      </c>
      <c r="B676" s="17" t="s">
        <v>202</v>
      </c>
      <c r="C676" s="18">
        <v>7240</v>
      </c>
      <c r="D676" s="19">
        <v>11432.32</v>
      </c>
      <c r="E676" s="19">
        <f>+F676</f>
        <v>55000</v>
      </c>
      <c r="F676" s="20">
        <v>55000</v>
      </c>
      <c r="G676" s="21">
        <f t="shared" ref="G676:I676" si="342">+F676*6.3/100+F676</f>
        <v>58465</v>
      </c>
      <c r="H676" s="34">
        <f t="shared" si="342"/>
        <v>62148.294999999998</v>
      </c>
      <c r="I676" s="34">
        <f t="shared" si="342"/>
        <v>66063.637585000004</v>
      </c>
      <c r="J676" s="32"/>
      <c r="K676" s="32"/>
    </row>
    <row r="677" spans="1:11">
      <c r="A677" s="16">
        <v>165000</v>
      </c>
      <c r="B677" s="17" t="s">
        <v>203</v>
      </c>
      <c r="C677" s="18">
        <v>6930</v>
      </c>
      <c r="D677" s="19"/>
      <c r="E677" s="19">
        <f>F677/2</f>
        <v>82500</v>
      </c>
      <c r="F677" s="20">
        <v>165000</v>
      </c>
      <c r="G677" s="21">
        <f t="shared" ref="G677:I677" si="343">+F677*6.3/100+F677</f>
        <v>175395</v>
      </c>
      <c r="H677" s="34">
        <f t="shared" si="343"/>
        <v>186444.88500000001</v>
      </c>
      <c r="I677" s="34">
        <f t="shared" si="343"/>
        <v>198190.912755</v>
      </c>
      <c r="J677" s="32"/>
      <c r="K677" s="32"/>
    </row>
    <row r="678" spans="1:11">
      <c r="A678" s="16">
        <f>+F678</f>
        <v>231000</v>
      </c>
      <c r="B678" s="17" t="s">
        <v>204</v>
      </c>
      <c r="C678" s="18">
        <v>7300</v>
      </c>
      <c r="D678" s="19">
        <v>198050.8</v>
      </c>
      <c r="E678" s="19">
        <f>D678*2</f>
        <v>396101.6</v>
      </c>
      <c r="F678" s="20">
        <v>231000</v>
      </c>
      <c r="G678" s="21">
        <f>+E678*6.3/100+E678+250000</f>
        <v>671056.00080000004</v>
      </c>
      <c r="H678" s="34">
        <f t="shared" ref="H678:I678" si="344">+G678*6.3/100+G678</f>
        <v>713332.52885040001</v>
      </c>
      <c r="I678" s="34">
        <f t="shared" si="344"/>
        <v>758272.4781679752</v>
      </c>
      <c r="J678" s="32"/>
      <c r="K678" s="32"/>
    </row>
    <row r="679" spans="1:11">
      <c r="A679" s="16">
        <f>+F679</f>
        <v>52500</v>
      </c>
      <c r="B679" s="17" t="s">
        <v>205</v>
      </c>
      <c r="C679" s="18">
        <v>7340</v>
      </c>
      <c r="D679" s="19">
        <v>3661.26</v>
      </c>
      <c r="E679" s="19">
        <f>+F679</f>
        <v>52500</v>
      </c>
      <c r="F679" s="20">
        <v>52500</v>
      </c>
      <c r="G679" s="21">
        <f t="shared" ref="G679:I679" si="345">+F679*6.3/100+F679</f>
        <v>55807.5</v>
      </c>
      <c r="H679" s="34">
        <f t="shared" si="345"/>
        <v>59323.372499999998</v>
      </c>
      <c r="I679" s="34">
        <f t="shared" si="345"/>
        <v>63060.744967499995</v>
      </c>
      <c r="J679" s="32"/>
      <c r="K679" s="32"/>
    </row>
    <row r="680" spans="1:11">
      <c r="A680" s="16">
        <v>727000</v>
      </c>
      <c r="B680" s="17" t="s">
        <v>499</v>
      </c>
      <c r="C680" s="18">
        <v>7350</v>
      </c>
      <c r="D680" s="19">
        <v>58752.89</v>
      </c>
      <c r="E680" s="19">
        <f>+D680*2</f>
        <v>117505.78</v>
      </c>
      <c r="F680" s="20">
        <v>27000</v>
      </c>
      <c r="G680" s="21">
        <v>250000</v>
      </c>
      <c r="H680" s="34">
        <f t="shared" ref="H680:I680" si="346">+G680*6.3/100+G680</f>
        <v>265750</v>
      </c>
      <c r="I680" s="34">
        <f t="shared" si="346"/>
        <v>282492.25</v>
      </c>
      <c r="J680" s="32"/>
      <c r="K680" s="32"/>
    </row>
    <row r="681" spans="1:11">
      <c r="A681" s="16">
        <v>32500</v>
      </c>
      <c r="B681" s="17" t="s">
        <v>575</v>
      </c>
      <c r="C681" s="18">
        <v>7360</v>
      </c>
      <c r="D681" s="19">
        <f>9800+15590</f>
        <v>25390</v>
      </c>
      <c r="E681" s="19">
        <f>9800+15590+26300</f>
        <v>51690</v>
      </c>
      <c r="F681" s="19">
        <f>9800+15590+26300</f>
        <v>51690</v>
      </c>
      <c r="G681" s="19">
        <f>9800+15590+30000</f>
        <v>55390</v>
      </c>
      <c r="H681" s="19">
        <f>9800+15590+30000</f>
        <v>55390</v>
      </c>
      <c r="I681" s="19">
        <f>9800+15590+30000</f>
        <v>55390</v>
      </c>
      <c r="J681" s="32"/>
      <c r="K681" s="32"/>
    </row>
    <row r="682" spans="1:11">
      <c r="A682" s="45">
        <f>SUM(A675:A681)</f>
        <v>1371000</v>
      </c>
      <c r="B682" s="17"/>
      <c r="C682" s="18"/>
      <c r="D682" s="49">
        <f t="shared" ref="D682:I682" si="347">SUM(D675:D681)</f>
        <v>297678.06</v>
      </c>
      <c r="E682" s="45">
        <f t="shared" si="347"/>
        <v>809297.38</v>
      </c>
      <c r="F682" s="45">
        <f t="shared" si="347"/>
        <v>690190</v>
      </c>
      <c r="G682" s="31">
        <f t="shared" si="347"/>
        <v>1380917.5008</v>
      </c>
      <c r="H682" s="45">
        <f t="shared" si="347"/>
        <v>1464425.7333504001</v>
      </c>
      <c r="I682" s="45">
        <f t="shared" si="347"/>
        <v>1553194.9845514752</v>
      </c>
      <c r="J682" s="32"/>
      <c r="K682" s="32"/>
    </row>
    <row r="683" spans="1:11">
      <c r="A683" s="37"/>
      <c r="B683" s="39" t="s">
        <v>67</v>
      </c>
      <c r="C683" s="18"/>
      <c r="D683" s="19"/>
      <c r="E683" s="19"/>
      <c r="F683" s="45"/>
      <c r="G683" s="31"/>
      <c r="H683" s="45"/>
      <c r="I683" s="45"/>
      <c r="J683" s="32"/>
      <c r="K683" s="32"/>
    </row>
    <row r="684" spans="1:11">
      <c r="A684" s="45">
        <v>436600</v>
      </c>
      <c r="B684" s="17" t="s">
        <v>68</v>
      </c>
      <c r="C684" s="18">
        <v>7800</v>
      </c>
      <c r="D684" s="45">
        <v>436600</v>
      </c>
      <c r="E684" s="45">
        <v>436600</v>
      </c>
      <c r="F684" s="45">
        <v>436600</v>
      </c>
      <c r="G684" s="21">
        <f>F684*6.3%+F684</f>
        <v>464105.8</v>
      </c>
      <c r="H684" s="34">
        <f>G684*6.3%+G684</f>
        <v>493344.46539999999</v>
      </c>
      <c r="I684" s="34">
        <f>H684*6.3%+H684</f>
        <v>524425.16672019998</v>
      </c>
      <c r="J684" s="32"/>
      <c r="K684" s="32"/>
    </row>
    <row r="685" spans="1:11">
      <c r="A685" s="37"/>
      <c r="B685" s="17"/>
      <c r="C685" s="18"/>
      <c r="D685" s="30"/>
      <c r="E685" s="30"/>
      <c r="F685" s="30"/>
      <c r="G685" s="31"/>
      <c r="H685" s="30"/>
      <c r="I685" s="30"/>
      <c r="J685" s="32"/>
      <c r="K685" s="32"/>
    </row>
    <row r="686" spans="1:11">
      <c r="A686" s="45">
        <f>+A684+A682+A673+A656</f>
        <v>3811680.66</v>
      </c>
      <c r="B686" s="39" t="s">
        <v>46</v>
      </c>
      <c r="C686" s="18"/>
      <c r="D686" s="45">
        <f t="shared" ref="D686:I686" si="348">+D684+D682+D673+D656</f>
        <v>1582055.81</v>
      </c>
      <c r="E686" s="45">
        <f t="shared" si="348"/>
        <v>3409958.29</v>
      </c>
      <c r="F686" s="45">
        <f t="shared" si="348"/>
        <v>3878383.3499999996</v>
      </c>
      <c r="G686" s="31">
        <f t="shared" si="348"/>
        <v>3569030.2859700006</v>
      </c>
      <c r="H686" s="45">
        <f t="shared" si="348"/>
        <v>3790389.6239861101</v>
      </c>
      <c r="I686" s="45">
        <f t="shared" si="348"/>
        <v>4025694.6002972354</v>
      </c>
      <c r="J686" s="32"/>
      <c r="K686" s="32"/>
    </row>
    <row r="687" spans="1:11">
      <c r="A687" s="45">
        <f>+A645-A686</f>
        <v>-981670.66000000015</v>
      </c>
      <c r="B687" s="44" t="str">
        <f>B60</f>
        <v>NETT AMOUNT</v>
      </c>
      <c r="C687" s="18"/>
      <c r="D687" s="45">
        <f t="shared" ref="D687:I687" si="349">+D645-D686</f>
        <v>2030955.19</v>
      </c>
      <c r="E687" s="45">
        <f t="shared" si="349"/>
        <v>203052.70999999996</v>
      </c>
      <c r="F687" s="45">
        <f t="shared" si="349"/>
        <v>-265372.34999999963</v>
      </c>
      <c r="G687" s="31">
        <f t="shared" si="349"/>
        <v>469061.81402999954</v>
      </c>
      <c r="H687" s="45">
        <f t="shared" si="349"/>
        <v>651511.68601389043</v>
      </c>
      <c r="I687" s="45">
        <f t="shared" si="349"/>
        <v>860396.84070276516</v>
      </c>
      <c r="J687" s="32"/>
      <c r="K687" s="32"/>
    </row>
    <row r="688" spans="1:11">
      <c r="A688" s="37"/>
      <c r="B688" s="17"/>
      <c r="C688" s="18"/>
      <c r="D688" s="19"/>
      <c r="E688" s="19"/>
      <c r="F688" s="30"/>
      <c r="G688" s="31"/>
      <c r="H688" s="30"/>
      <c r="I688" s="30"/>
      <c r="J688" s="32"/>
      <c r="K688" s="32"/>
    </row>
    <row r="689" spans="1:11">
      <c r="A689" s="37"/>
      <c r="B689" s="17"/>
      <c r="C689" s="18"/>
      <c r="D689" s="19"/>
      <c r="E689" s="19"/>
      <c r="F689" s="37"/>
      <c r="G689" s="50"/>
      <c r="H689" s="30"/>
      <c r="I689" s="30"/>
      <c r="J689" s="32"/>
      <c r="K689" s="32"/>
    </row>
    <row r="690" spans="1:11">
      <c r="A690" s="37" t="s">
        <v>72</v>
      </c>
      <c r="B690" s="17"/>
      <c r="C690" s="18"/>
      <c r="D690" s="18" t="s">
        <v>469</v>
      </c>
      <c r="E690" s="18" t="s">
        <v>473</v>
      </c>
      <c r="F690" s="18" t="s">
        <v>73</v>
      </c>
      <c r="G690" s="24" t="s">
        <v>73</v>
      </c>
      <c r="H690" s="22" t="s">
        <v>651</v>
      </c>
      <c r="I690" s="22" t="s">
        <v>651</v>
      </c>
      <c r="J690" s="32"/>
      <c r="K690" s="32"/>
    </row>
    <row r="691" spans="1:11">
      <c r="A691" s="37" t="s">
        <v>10</v>
      </c>
      <c r="B691" s="29" t="s">
        <v>206</v>
      </c>
      <c r="C691" s="18" t="str">
        <f>C2</f>
        <v>ABAKUS</v>
      </c>
      <c r="D691" s="18" t="s">
        <v>470</v>
      </c>
      <c r="E691" s="18" t="s">
        <v>10</v>
      </c>
      <c r="F691" s="18" t="s">
        <v>11</v>
      </c>
      <c r="G691" s="24" t="s">
        <v>498</v>
      </c>
      <c r="H691" s="22" t="s">
        <v>500</v>
      </c>
      <c r="I691" s="22" t="s">
        <v>498</v>
      </c>
      <c r="J691" s="32"/>
      <c r="K691" s="32"/>
    </row>
    <row r="692" spans="1:11">
      <c r="A692" s="37" t="s">
        <v>13</v>
      </c>
      <c r="B692" s="17"/>
      <c r="C692" s="18" t="str">
        <f>C3</f>
        <v>VOTES</v>
      </c>
      <c r="D692" s="18" t="s">
        <v>14</v>
      </c>
      <c r="E692" s="18" t="s">
        <v>14</v>
      </c>
      <c r="F692" s="18" t="s">
        <v>14</v>
      </c>
      <c r="G692" s="24" t="s">
        <v>15</v>
      </c>
      <c r="H692" s="22" t="s">
        <v>272</v>
      </c>
      <c r="I692" s="22" t="s">
        <v>285</v>
      </c>
      <c r="J692" s="32"/>
      <c r="K692" s="32"/>
    </row>
    <row r="693" spans="1:11">
      <c r="A693" s="37"/>
      <c r="B693" s="18" t="s">
        <v>207</v>
      </c>
      <c r="C693" s="18"/>
      <c r="D693" s="19"/>
      <c r="E693" s="19"/>
      <c r="F693" s="30"/>
      <c r="G693" s="31"/>
      <c r="H693" s="30"/>
      <c r="I693" s="30"/>
      <c r="J693" s="32"/>
      <c r="K693" s="32"/>
    </row>
    <row r="694" spans="1:11">
      <c r="A694" s="37"/>
      <c r="B694" s="18"/>
      <c r="C694" s="18"/>
      <c r="D694" s="19"/>
      <c r="E694" s="19"/>
      <c r="F694" s="30"/>
      <c r="G694" s="31"/>
      <c r="H694" s="30"/>
      <c r="I694" s="30"/>
      <c r="J694" s="32"/>
      <c r="K694" s="32"/>
    </row>
    <row r="695" spans="1:11">
      <c r="A695" s="37"/>
      <c r="B695" s="29" t="s">
        <v>16</v>
      </c>
      <c r="C695" s="18"/>
      <c r="D695" s="19"/>
      <c r="E695" s="19"/>
      <c r="F695" s="30"/>
      <c r="G695" s="31"/>
      <c r="H695" s="30"/>
      <c r="I695" s="30"/>
      <c r="J695" s="32"/>
      <c r="K695" s="32"/>
    </row>
    <row r="696" spans="1:11">
      <c r="A696" s="16">
        <v>459416.56</v>
      </c>
      <c r="B696" s="35" t="s">
        <v>208</v>
      </c>
      <c r="C696" s="18">
        <v>5440</v>
      </c>
      <c r="D696" s="19">
        <v>135771.17000000001</v>
      </c>
      <c r="E696" s="19">
        <f>+F696</f>
        <v>459416.56</v>
      </c>
      <c r="F696" s="34">
        <f>+A696</f>
        <v>459416.56</v>
      </c>
      <c r="G696" s="21">
        <f>+E696*0.1/100+E696</f>
        <v>459875.97655999998</v>
      </c>
      <c r="H696" s="34">
        <f>+F696*0.1+F696</f>
        <v>505358.21600000001</v>
      </c>
      <c r="I696" s="34">
        <f>+G696*0.1+G696</f>
        <v>505863.57421599998</v>
      </c>
      <c r="J696" s="32"/>
      <c r="K696" s="32"/>
    </row>
    <row r="697" spans="1:11">
      <c r="A697" s="16">
        <v>1378000</v>
      </c>
      <c r="B697" s="35" t="s">
        <v>209</v>
      </c>
      <c r="C697" s="18">
        <v>5450</v>
      </c>
      <c r="D697" s="19">
        <v>825179.83</v>
      </c>
      <c r="E697" s="19">
        <f>+D697*2</f>
        <v>1650359.66</v>
      </c>
      <c r="F697" s="34">
        <v>1446900</v>
      </c>
      <c r="G697" s="21">
        <f t="shared" ref="G697:G698" si="350">+E697*0.1/100+E697</f>
        <v>1652010.01966</v>
      </c>
      <c r="H697" s="34">
        <f t="shared" ref="H697:H698" si="351">+F697*0.1+F697</f>
        <v>1591590</v>
      </c>
      <c r="I697" s="34">
        <f t="shared" ref="I697:I698" si="352">+G697*0.1+G697</f>
        <v>1817211.0216260001</v>
      </c>
      <c r="J697" s="32"/>
      <c r="K697" s="32"/>
    </row>
    <row r="698" spans="1:11">
      <c r="A698" s="16">
        <v>600000</v>
      </c>
      <c r="B698" s="35" t="s">
        <v>158</v>
      </c>
      <c r="C698" s="18">
        <v>5260</v>
      </c>
      <c r="D698" s="19">
        <v>87921.74</v>
      </c>
      <c r="E698" s="19">
        <f>+D698*2</f>
        <v>175843.48</v>
      </c>
      <c r="F698" s="34">
        <v>1312500</v>
      </c>
      <c r="G698" s="21">
        <f t="shared" si="350"/>
        <v>176019.32348000002</v>
      </c>
      <c r="H698" s="34">
        <f t="shared" si="351"/>
        <v>1443750</v>
      </c>
      <c r="I698" s="34">
        <f t="shared" si="352"/>
        <v>193621.25582800002</v>
      </c>
      <c r="J698" s="32"/>
      <c r="K698" s="32"/>
    </row>
    <row r="699" spans="1:11">
      <c r="A699" s="45">
        <f>SUM(A696:A698)</f>
        <v>2437416.56</v>
      </c>
      <c r="B699" s="18"/>
      <c r="C699" s="18"/>
      <c r="D699" s="49">
        <f>SUM(D696:D698)</f>
        <v>1048872.74</v>
      </c>
      <c r="E699" s="45">
        <f>SUM(E696:E698)</f>
        <v>2285619.6999999997</v>
      </c>
      <c r="F699" s="45">
        <f>SUM(F696:F698)</f>
        <v>3218816.56</v>
      </c>
      <c r="G699" s="31">
        <f t="shared" ref="G699:I699" si="353">SUM(G696:G698)</f>
        <v>2287905.3196999999</v>
      </c>
      <c r="H699" s="45">
        <f t="shared" si="353"/>
        <v>3540698.216</v>
      </c>
      <c r="I699" s="45">
        <f t="shared" si="353"/>
        <v>2516695.8516700002</v>
      </c>
      <c r="J699" s="32"/>
      <c r="K699" s="32"/>
    </row>
    <row r="700" spans="1:11">
      <c r="A700" s="37"/>
      <c r="B700" s="29" t="s">
        <v>22</v>
      </c>
      <c r="C700" s="18"/>
      <c r="D700" s="19"/>
      <c r="E700" s="19"/>
      <c r="F700" s="30"/>
      <c r="G700" s="31"/>
      <c r="H700" s="30"/>
      <c r="I700" s="30"/>
      <c r="J700" s="32"/>
      <c r="K700" s="32"/>
    </row>
    <row r="701" spans="1:11">
      <c r="A701" s="37"/>
      <c r="B701" s="17"/>
      <c r="C701" s="18"/>
      <c r="D701" s="19"/>
      <c r="E701" s="19"/>
      <c r="F701" s="30"/>
      <c r="G701" s="31"/>
      <c r="H701" s="30"/>
      <c r="I701" s="30"/>
      <c r="J701" s="32"/>
      <c r="K701" s="32"/>
    </row>
    <row r="702" spans="1:11">
      <c r="A702" s="38"/>
      <c r="B702" s="39" t="s">
        <v>23</v>
      </c>
      <c r="C702" s="29"/>
      <c r="D702" s="40"/>
      <c r="E702" s="40"/>
      <c r="F702" s="30"/>
      <c r="G702" s="31"/>
      <c r="H702" s="30"/>
      <c r="I702" s="30"/>
      <c r="J702" s="32"/>
      <c r="K702" s="32"/>
    </row>
    <row r="703" spans="1:11">
      <c r="A703" s="37"/>
      <c r="B703" s="17"/>
      <c r="C703" s="18"/>
      <c r="D703" s="19"/>
      <c r="E703" s="19"/>
      <c r="F703" s="30"/>
      <c r="G703" s="31"/>
      <c r="H703" s="30"/>
      <c r="I703" s="30"/>
      <c r="J703" s="32"/>
      <c r="K703" s="32"/>
    </row>
    <row r="704" spans="1:11">
      <c r="A704" s="16">
        <v>1452450</v>
      </c>
      <c r="B704" s="17" t="s">
        <v>81</v>
      </c>
      <c r="C704" s="18">
        <v>6010</v>
      </c>
      <c r="D704" s="19">
        <v>872418.76</v>
      </c>
      <c r="E704" s="19">
        <f>D704*2</f>
        <v>1744837.52</v>
      </c>
      <c r="F704" s="20">
        <f>+'[1]STAFF SALARIES SUMMARY'!C16+'[1]STAFF SALARIES SUMMARY'!D16</f>
        <v>1370105.44</v>
      </c>
      <c r="G704" s="21">
        <f>F704*8.3%+F704</f>
        <v>1483824.1915199999</v>
      </c>
      <c r="H704" s="20">
        <f>G704*8.3%+G704</f>
        <v>1606981.5994161598</v>
      </c>
      <c r="I704" s="20">
        <f>H704*8.3%+H704</f>
        <v>1740361.0721677011</v>
      </c>
      <c r="J704" s="32"/>
      <c r="K704" s="32"/>
    </row>
    <row r="705" spans="1:11">
      <c r="A705" s="16">
        <v>115713</v>
      </c>
      <c r="B705" s="17" t="s">
        <v>82</v>
      </c>
      <c r="C705" s="18">
        <v>6030</v>
      </c>
      <c r="D705" s="19">
        <v>69037.8</v>
      </c>
      <c r="E705" s="19">
        <f>+F705</f>
        <v>187881.36</v>
      </c>
      <c r="F705" s="20">
        <f>+'[1]STAFF SALARIES SUMMARY'!I16</f>
        <v>187881.36</v>
      </c>
      <c r="G705" s="21">
        <f t="shared" ref="G705:I705" si="354">F705*8.3%+F705</f>
        <v>203475.51287999999</v>
      </c>
      <c r="H705" s="20">
        <f t="shared" si="354"/>
        <v>220363.98044903998</v>
      </c>
      <c r="I705" s="20">
        <f t="shared" si="354"/>
        <v>238654.19082631031</v>
      </c>
      <c r="J705" s="32"/>
      <c r="K705" s="32"/>
    </row>
    <row r="706" spans="1:11">
      <c r="A706" s="16">
        <v>135333.32999999999</v>
      </c>
      <c r="B706" s="17" t="s">
        <v>83</v>
      </c>
      <c r="C706" s="18">
        <v>6040</v>
      </c>
      <c r="D706" s="19">
        <v>113688.57</v>
      </c>
      <c r="E706" s="19">
        <f>F706</f>
        <v>304220.71000000002</v>
      </c>
      <c r="F706" s="34">
        <f>+'[1]STAFF SALARIES SUMMARY'!G16</f>
        <v>304220.71000000002</v>
      </c>
      <c r="G706" s="21">
        <f t="shared" ref="G706:I706" si="355">F706*8.3%+F706</f>
        <v>329471.02893000003</v>
      </c>
      <c r="H706" s="20">
        <f t="shared" si="355"/>
        <v>356817.12433119002</v>
      </c>
      <c r="I706" s="20">
        <f t="shared" si="355"/>
        <v>386432.94565067877</v>
      </c>
      <c r="J706" s="32"/>
      <c r="K706" s="32"/>
    </row>
    <row r="707" spans="1:11">
      <c r="A707" s="16">
        <v>217390</v>
      </c>
      <c r="B707" s="17" t="s">
        <v>115</v>
      </c>
      <c r="C707" s="18">
        <v>6050</v>
      </c>
      <c r="D707" s="19">
        <v>135124.14000000001</v>
      </c>
      <c r="E707" s="19">
        <f>+F707</f>
        <v>187881.36</v>
      </c>
      <c r="F707" s="20">
        <f>+'[1]STAFF SALARIES SUMMARY'!H16</f>
        <v>187881.36</v>
      </c>
      <c r="G707" s="21">
        <f t="shared" ref="G707:I707" si="356">F707*8.3%+F707</f>
        <v>203475.51287999999</v>
      </c>
      <c r="H707" s="20">
        <f t="shared" si="356"/>
        <v>220363.98044903998</v>
      </c>
      <c r="I707" s="20">
        <f t="shared" si="356"/>
        <v>238654.19082631031</v>
      </c>
      <c r="J707" s="32"/>
      <c r="K707" s="32"/>
    </row>
    <row r="708" spans="1:11">
      <c r="A708" s="16">
        <v>45400</v>
      </c>
      <c r="B708" s="17" t="s">
        <v>85</v>
      </c>
      <c r="C708" s="57">
        <v>6070</v>
      </c>
      <c r="D708" s="19">
        <v>77030.559999999998</v>
      </c>
      <c r="E708" s="19">
        <f>+D708*2</f>
        <v>154061.12</v>
      </c>
      <c r="F708" s="34">
        <f>+'[1]STAFF SALARIES SUMMARY'!E16</f>
        <v>66300</v>
      </c>
      <c r="G708" s="21">
        <f t="shared" ref="G708:I708" si="357">F708*8.3%+F708</f>
        <v>71802.899999999994</v>
      </c>
      <c r="H708" s="20">
        <f t="shared" si="357"/>
        <v>77762.540699999998</v>
      </c>
      <c r="I708" s="20">
        <f t="shared" si="357"/>
        <v>84216.831578099998</v>
      </c>
      <c r="J708" s="32"/>
      <c r="K708" s="32"/>
    </row>
    <row r="709" spans="1:11">
      <c r="A709" s="16">
        <v>33000</v>
      </c>
      <c r="B709" s="17" t="s">
        <v>29</v>
      </c>
      <c r="C709" s="18">
        <v>6085</v>
      </c>
      <c r="D709" s="19">
        <v>15565.88</v>
      </c>
      <c r="E709" s="19">
        <f>+D709*2</f>
        <v>31131.759999999998</v>
      </c>
      <c r="F709" s="20">
        <f>+'[1]STAFF SALARIES SUMMARY'!F16</f>
        <v>32179.919999999998</v>
      </c>
      <c r="G709" s="21">
        <f t="shared" ref="G709:I709" si="358">F709*8.3%+F709</f>
        <v>34850.853360000001</v>
      </c>
      <c r="H709" s="20">
        <f t="shared" si="358"/>
        <v>37743.474188879998</v>
      </c>
      <c r="I709" s="20">
        <f t="shared" si="358"/>
        <v>40876.182546557036</v>
      </c>
      <c r="J709" s="32"/>
      <c r="K709" s="32"/>
    </row>
    <row r="710" spans="1:11">
      <c r="A710" s="16">
        <v>800</v>
      </c>
      <c r="B710" s="17" t="s">
        <v>86</v>
      </c>
      <c r="C710" s="57">
        <v>6088</v>
      </c>
      <c r="D710" s="19">
        <v>382.5</v>
      </c>
      <c r="E710" s="19">
        <f>+F710</f>
        <v>994.5</v>
      </c>
      <c r="F710" s="34">
        <f>+'[1]STAFF SALARIES SUMMARY'!K16</f>
        <v>994.5</v>
      </c>
      <c r="G710" s="21">
        <f t="shared" ref="G710:I710" si="359">F710*8.3%+F710</f>
        <v>1077.0435</v>
      </c>
      <c r="H710" s="20">
        <f t="shared" si="359"/>
        <v>1166.4381105</v>
      </c>
      <c r="I710" s="20">
        <f t="shared" si="359"/>
        <v>1263.2524736715</v>
      </c>
      <c r="J710" s="32"/>
      <c r="K710" s="32"/>
    </row>
    <row r="711" spans="1:11">
      <c r="A711" s="16">
        <v>12430</v>
      </c>
      <c r="B711" s="17" t="s">
        <v>0</v>
      </c>
      <c r="C711" s="18">
        <v>6087</v>
      </c>
      <c r="D711" s="19">
        <v>9666.07</v>
      </c>
      <c r="E711" s="19">
        <f>+D711*2</f>
        <v>19332.14</v>
      </c>
      <c r="F711" s="20">
        <f>+'[1]STAFF SALARIES SUMMARY'!J16</f>
        <v>12647.13</v>
      </c>
      <c r="G711" s="21">
        <f t="shared" ref="G711:I711" si="360">F711*8.3%+F711</f>
        <v>13696.841789999999</v>
      </c>
      <c r="H711" s="20">
        <f t="shared" si="360"/>
        <v>14833.679658569999</v>
      </c>
      <c r="I711" s="20">
        <f t="shared" si="360"/>
        <v>16064.87507023131</v>
      </c>
      <c r="J711" s="32"/>
      <c r="K711" s="32"/>
    </row>
    <row r="712" spans="1:11">
      <c r="A712" s="30">
        <f>SUM(A704:A711)</f>
        <v>2012516.33</v>
      </c>
      <c r="B712" s="17"/>
      <c r="C712" s="18"/>
      <c r="D712" s="36">
        <f t="shared" ref="D712:I712" si="361">SUM(D704:D711)</f>
        <v>1292914.28</v>
      </c>
      <c r="E712" s="30">
        <f t="shared" si="361"/>
        <v>2630340.4699999997</v>
      </c>
      <c r="F712" s="30">
        <f t="shared" si="361"/>
        <v>2162210.4199999995</v>
      </c>
      <c r="G712" s="31">
        <f t="shared" si="361"/>
        <v>2341673.8848600001</v>
      </c>
      <c r="H712" s="30">
        <f t="shared" si="361"/>
        <v>2536032.8173033795</v>
      </c>
      <c r="I712" s="30">
        <f t="shared" si="361"/>
        <v>2746523.5411395603</v>
      </c>
      <c r="J712" s="32"/>
      <c r="K712" s="32"/>
    </row>
    <row r="713" spans="1:11">
      <c r="A713" s="38"/>
      <c r="B713" s="39" t="s">
        <v>30</v>
      </c>
      <c r="C713" s="29"/>
      <c r="D713" s="40"/>
      <c r="E713" s="40"/>
      <c r="F713" s="30"/>
      <c r="G713" s="31"/>
      <c r="H713" s="30"/>
      <c r="I713" s="30"/>
      <c r="J713" s="32"/>
      <c r="K713" s="32"/>
    </row>
    <row r="714" spans="1:11">
      <c r="A714" s="16">
        <v>2650</v>
      </c>
      <c r="B714" s="17" t="s">
        <v>564</v>
      </c>
      <c r="C714" s="57">
        <v>6220</v>
      </c>
      <c r="D714" s="19">
        <v>0</v>
      </c>
      <c r="E714" s="19">
        <v>0</v>
      </c>
      <c r="F714" s="34">
        <v>5300</v>
      </c>
      <c r="G714" s="21">
        <f>F714*6.3%+F714</f>
        <v>5633.9</v>
      </c>
      <c r="H714" s="34">
        <f>G714*6.3%+G714</f>
        <v>5988.8356999999996</v>
      </c>
      <c r="I714" s="34">
        <f>H714*6.3%+H714</f>
        <v>6366.1323490999994</v>
      </c>
      <c r="J714" s="32"/>
      <c r="K714" s="32"/>
    </row>
    <row r="715" spans="1:11">
      <c r="A715" s="16">
        <v>1100</v>
      </c>
      <c r="B715" s="17" t="s">
        <v>90</v>
      </c>
      <c r="C715" s="57">
        <v>6540</v>
      </c>
      <c r="D715" s="19">
        <v>574.16999999999996</v>
      </c>
      <c r="E715" s="19">
        <f>F715</f>
        <v>1100</v>
      </c>
      <c r="F715" s="34">
        <v>1100</v>
      </c>
      <c r="G715" s="21">
        <f t="shared" ref="G715:I715" si="362">F715*6.3%+F715</f>
        <v>1169.3</v>
      </c>
      <c r="H715" s="34">
        <f t="shared" si="362"/>
        <v>1242.9658999999999</v>
      </c>
      <c r="I715" s="34">
        <f t="shared" si="362"/>
        <v>1321.2727516999998</v>
      </c>
      <c r="J715" s="32"/>
      <c r="K715" s="32"/>
    </row>
    <row r="716" spans="1:11">
      <c r="A716" s="16">
        <v>99250</v>
      </c>
      <c r="B716" s="17" t="s">
        <v>316</v>
      </c>
      <c r="C716" s="57">
        <v>7090</v>
      </c>
      <c r="D716" s="19">
        <v>0</v>
      </c>
      <c r="E716" s="19">
        <v>0</v>
      </c>
      <c r="F716" s="34">
        <v>100000</v>
      </c>
      <c r="G716" s="21">
        <f>F716</f>
        <v>100000</v>
      </c>
      <c r="H716" s="34">
        <f t="shared" ref="H716:I716" si="363">G716*6.3%+G716</f>
        <v>106300</v>
      </c>
      <c r="I716" s="34">
        <f t="shared" si="363"/>
        <v>112996.9</v>
      </c>
      <c r="J716" s="32"/>
      <c r="K716" s="32"/>
    </row>
    <row r="717" spans="1:11">
      <c r="A717" s="16">
        <v>23290</v>
      </c>
      <c r="B717" s="17" t="s">
        <v>33</v>
      </c>
      <c r="C717" s="57">
        <v>6570</v>
      </c>
      <c r="D717" s="19">
        <v>0</v>
      </c>
      <c r="E717" s="19">
        <f>+F717/2</f>
        <v>11645</v>
      </c>
      <c r="F717" s="34">
        <v>23290</v>
      </c>
      <c r="G717" s="21">
        <f>E717</f>
        <v>11645</v>
      </c>
      <c r="H717" s="34">
        <f t="shared" ref="H717:I717" si="364">G717*6.3%+G717</f>
        <v>12378.635</v>
      </c>
      <c r="I717" s="34">
        <f t="shared" si="364"/>
        <v>13158.489004999999</v>
      </c>
      <c r="J717" s="32"/>
      <c r="K717" s="32"/>
    </row>
    <row r="718" spans="1:11">
      <c r="A718" s="16">
        <v>0</v>
      </c>
      <c r="B718" s="17" t="s">
        <v>210</v>
      </c>
      <c r="C718" s="57">
        <v>6650</v>
      </c>
      <c r="D718" s="19">
        <v>0</v>
      </c>
      <c r="E718" s="19">
        <v>0</v>
      </c>
      <c r="F718" s="34">
        <v>0</v>
      </c>
      <c r="G718" s="21">
        <f t="shared" ref="G718:I718" si="365">F718*6.3%+F718</f>
        <v>0</v>
      </c>
      <c r="H718" s="34">
        <f t="shared" si="365"/>
        <v>0</v>
      </c>
      <c r="I718" s="34">
        <f t="shared" si="365"/>
        <v>0</v>
      </c>
      <c r="J718" s="32"/>
      <c r="K718" s="32"/>
    </row>
    <row r="719" spans="1:11">
      <c r="A719" s="16">
        <v>0</v>
      </c>
      <c r="B719" s="17" t="s">
        <v>484</v>
      </c>
      <c r="C719" s="57"/>
      <c r="D719" s="19">
        <v>0</v>
      </c>
      <c r="E719" s="19">
        <v>25000</v>
      </c>
      <c r="F719" s="34">
        <v>0</v>
      </c>
      <c r="G719" s="21">
        <f>E719</f>
        <v>25000</v>
      </c>
      <c r="H719" s="34">
        <f t="shared" ref="H719:I719" si="366">G719*6.3%+G719</f>
        <v>26575</v>
      </c>
      <c r="I719" s="34">
        <f t="shared" si="366"/>
        <v>28249.224999999999</v>
      </c>
      <c r="J719" s="32"/>
      <c r="K719" s="32"/>
    </row>
    <row r="720" spans="1:11">
      <c r="A720" s="16">
        <v>217643.6</v>
      </c>
      <c r="B720" s="17" t="s">
        <v>211</v>
      </c>
      <c r="C720" s="57">
        <v>6655</v>
      </c>
      <c r="D720" s="19">
        <v>151587.37</v>
      </c>
      <c r="E720" s="19">
        <v>350000</v>
      </c>
      <c r="F720" s="34">
        <v>140000</v>
      </c>
      <c r="G720" s="21">
        <f>E720*6.3%+E720</f>
        <v>372050</v>
      </c>
      <c r="H720" s="34">
        <f t="shared" ref="H720:I720" si="367">G720*6.3%+G720</f>
        <v>395489.15</v>
      </c>
      <c r="I720" s="34">
        <f t="shared" si="367"/>
        <v>420404.96645000001</v>
      </c>
      <c r="J720" s="32"/>
      <c r="K720" s="32"/>
    </row>
    <row r="721" spans="1:11">
      <c r="A721" s="16">
        <v>14560</v>
      </c>
      <c r="B721" s="17" t="s">
        <v>62</v>
      </c>
      <c r="C721" s="57">
        <v>6690</v>
      </c>
      <c r="D721" s="19">
        <v>0</v>
      </c>
      <c r="E721" s="19">
        <v>0</v>
      </c>
      <c r="F721" s="34">
        <v>14560</v>
      </c>
      <c r="G721" s="21">
        <f t="shared" ref="G721:I721" si="368">F721*6.3%+F721</f>
        <v>15477.28</v>
      </c>
      <c r="H721" s="34">
        <f t="shared" si="368"/>
        <v>16452.34864</v>
      </c>
      <c r="I721" s="34">
        <f t="shared" si="368"/>
        <v>17488.846604319999</v>
      </c>
      <c r="J721" s="32"/>
      <c r="K721" s="32"/>
    </row>
    <row r="722" spans="1:11">
      <c r="A722" s="16">
        <v>10500</v>
      </c>
      <c r="B722" s="17" t="s">
        <v>93</v>
      </c>
      <c r="C722" s="57">
        <v>6780</v>
      </c>
      <c r="D722" s="19">
        <v>7542.83</v>
      </c>
      <c r="E722" s="19">
        <f>D722*2</f>
        <v>15085.66</v>
      </c>
      <c r="F722" s="34">
        <v>10500</v>
      </c>
      <c r="G722" s="21">
        <f>E722</f>
        <v>15085.66</v>
      </c>
      <c r="H722" s="34">
        <f t="shared" ref="H722:I722" si="369">G722*6.3%+G722</f>
        <v>16036.05658</v>
      </c>
      <c r="I722" s="34">
        <f t="shared" si="369"/>
        <v>17046.328144539999</v>
      </c>
      <c r="J722" s="32"/>
      <c r="K722" s="32"/>
    </row>
    <row r="723" spans="1:11">
      <c r="A723" s="16">
        <v>30651.9</v>
      </c>
      <c r="B723" s="17" t="s">
        <v>94</v>
      </c>
      <c r="C723" s="57">
        <v>6790</v>
      </c>
      <c r="D723" s="19">
        <v>15787.3</v>
      </c>
      <c r="E723" s="19">
        <f>+D723*2</f>
        <v>31574.6</v>
      </c>
      <c r="F723" s="34">
        <v>15800</v>
      </c>
      <c r="G723" s="21">
        <f>E723</f>
        <v>31574.6</v>
      </c>
      <c r="H723" s="34">
        <f t="shared" ref="H723:I723" si="370">G723*6.3%+G723</f>
        <v>33563.799800000001</v>
      </c>
      <c r="I723" s="34">
        <f t="shared" si="370"/>
        <v>35678.319187400004</v>
      </c>
      <c r="J723" s="32"/>
      <c r="K723" s="32"/>
    </row>
    <row r="724" spans="1:11">
      <c r="A724" s="16">
        <v>37280.26</v>
      </c>
      <c r="B724" s="17" t="s">
        <v>198</v>
      </c>
      <c r="C724" s="57">
        <v>6820</v>
      </c>
      <c r="D724" s="19">
        <v>2950</v>
      </c>
      <c r="E724" s="19">
        <f>F724/2</f>
        <v>38510</v>
      </c>
      <c r="F724" s="20">
        <v>77020</v>
      </c>
      <c r="G724" s="21">
        <f>E724*6.3%+E724</f>
        <v>40936.129999999997</v>
      </c>
      <c r="H724" s="34">
        <f t="shared" ref="H724:I724" si="371">G724*6.3%+G724</f>
        <v>43515.106189999999</v>
      </c>
      <c r="I724" s="34">
        <f t="shared" si="371"/>
        <v>46256.557879970002</v>
      </c>
      <c r="J724" s="32"/>
      <c r="K724" s="32"/>
    </row>
    <row r="725" spans="1:11">
      <c r="A725" s="16">
        <v>1700</v>
      </c>
      <c r="B725" s="17" t="s">
        <v>212</v>
      </c>
      <c r="C725" s="57">
        <v>6910</v>
      </c>
      <c r="D725" s="19">
        <v>822.9</v>
      </c>
      <c r="E725" s="19">
        <f>F725</f>
        <v>1700</v>
      </c>
      <c r="F725" s="20">
        <v>1700</v>
      </c>
      <c r="G725" s="21">
        <f t="shared" ref="G725:I725" si="372">F725*6.3%+F725</f>
        <v>1807.1</v>
      </c>
      <c r="H725" s="34">
        <f t="shared" si="372"/>
        <v>1920.9472999999998</v>
      </c>
      <c r="I725" s="34">
        <f t="shared" si="372"/>
        <v>2041.9669798999998</v>
      </c>
      <c r="J725" s="32"/>
      <c r="K725" s="32"/>
    </row>
    <row r="726" spans="1:11">
      <c r="A726" s="16">
        <v>11500</v>
      </c>
      <c r="B726" s="17" t="s">
        <v>167</v>
      </c>
      <c r="C726" s="57">
        <v>6920</v>
      </c>
      <c r="D726" s="19">
        <v>8090.17</v>
      </c>
      <c r="E726" s="19">
        <f>+D726*2</f>
        <v>16180.34</v>
      </c>
      <c r="F726" s="20">
        <v>11500</v>
      </c>
      <c r="G726" s="21">
        <f>E726</f>
        <v>16180.34</v>
      </c>
      <c r="H726" s="34">
        <f t="shared" ref="H726:I726" si="373">G726*6.3%+G726</f>
        <v>17199.701420000001</v>
      </c>
      <c r="I726" s="34">
        <f t="shared" si="373"/>
        <v>18283.282609460002</v>
      </c>
      <c r="J726" s="32"/>
      <c r="K726" s="32"/>
    </row>
    <row r="727" spans="1:11">
      <c r="A727" s="16">
        <v>11000</v>
      </c>
      <c r="B727" s="17" t="s">
        <v>155</v>
      </c>
      <c r="C727" s="57">
        <v>6930</v>
      </c>
      <c r="D727" s="19">
        <v>0</v>
      </c>
      <c r="E727" s="19">
        <v>0</v>
      </c>
      <c r="F727" s="20">
        <v>11000</v>
      </c>
      <c r="G727" s="21">
        <v>0</v>
      </c>
      <c r="H727" s="34">
        <f t="shared" ref="H727:I727" si="374">G727*6.3%+G727</f>
        <v>0</v>
      </c>
      <c r="I727" s="34">
        <f t="shared" si="374"/>
        <v>0</v>
      </c>
      <c r="J727" s="32"/>
      <c r="K727" s="32"/>
    </row>
    <row r="728" spans="1:11">
      <c r="A728" s="16">
        <v>3200</v>
      </c>
      <c r="B728" s="17" t="s">
        <v>99</v>
      </c>
      <c r="C728" s="57">
        <v>6970</v>
      </c>
      <c r="D728" s="19">
        <v>0</v>
      </c>
      <c r="E728" s="19">
        <v>0</v>
      </c>
      <c r="F728" s="20">
        <v>0</v>
      </c>
      <c r="G728" s="21">
        <f t="shared" ref="G728:I728" si="375">F728*6.3%+F728</f>
        <v>0</v>
      </c>
      <c r="H728" s="34">
        <f t="shared" si="375"/>
        <v>0</v>
      </c>
      <c r="I728" s="34">
        <f t="shared" si="375"/>
        <v>0</v>
      </c>
      <c r="J728" s="32"/>
      <c r="K728" s="32"/>
    </row>
    <row r="729" spans="1:11">
      <c r="A729" s="16">
        <v>5400</v>
      </c>
      <c r="B729" s="17" t="s">
        <v>39</v>
      </c>
      <c r="C729" s="57">
        <v>6990</v>
      </c>
      <c r="D729" s="19">
        <v>4594.47</v>
      </c>
      <c r="E729" s="19">
        <f>+D729*2</f>
        <v>9188.94</v>
      </c>
      <c r="F729" s="20">
        <v>5400</v>
      </c>
      <c r="G729" s="21">
        <v>0</v>
      </c>
      <c r="H729" s="34">
        <f t="shared" ref="H729:I729" si="376">G729*6.3%+G729</f>
        <v>0</v>
      </c>
      <c r="I729" s="34">
        <f t="shared" si="376"/>
        <v>0</v>
      </c>
      <c r="J729" s="32"/>
      <c r="K729" s="32"/>
    </row>
    <row r="730" spans="1:11">
      <c r="A730" s="16">
        <v>35046.400000000001</v>
      </c>
      <c r="B730" s="17" t="s">
        <v>65</v>
      </c>
      <c r="C730" s="57">
        <v>7081</v>
      </c>
      <c r="D730" s="19">
        <v>1743.99</v>
      </c>
      <c r="E730" s="19">
        <f>+F730/2</f>
        <v>20500</v>
      </c>
      <c r="F730" s="20">
        <v>41000</v>
      </c>
      <c r="G730" s="21">
        <f>E730</f>
        <v>20500</v>
      </c>
      <c r="H730" s="34">
        <f t="shared" ref="H730:I730" si="377">G730*6.3%+G730</f>
        <v>21791.5</v>
      </c>
      <c r="I730" s="34">
        <f t="shared" si="377"/>
        <v>23164.3645</v>
      </c>
      <c r="J730" s="32"/>
      <c r="K730" s="32"/>
    </row>
    <row r="731" spans="1:11">
      <c r="A731" s="16">
        <v>23349.03</v>
      </c>
      <c r="B731" s="17" t="s">
        <v>63</v>
      </c>
      <c r="C731" s="57">
        <v>7020</v>
      </c>
      <c r="D731" s="19">
        <v>26357.62</v>
      </c>
      <c r="E731" s="19">
        <f>+D731*2</f>
        <v>52715.24</v>
      </c>
      <c r="F731" s="20">
        <v>37000</v>
      </c>
      <c r="G731" s="21">
        <f>E731*6.3%+E731</f>
        <v>56036.30012</v>
      </c>
      <c r="H731" s="34">
        <f t="shared" ref="H731:I731" si="378">G731*6.3%+G731</f>
        <v>59566.587027560003</v>
      </c>
      <c r="I731" s="34">
        <f t="shared" si="378"/>
        <v>63319.28201029628</v>
      </c>
      <c r="J731" s="32"/>
      <c r="K731" s="32"/>
    </row>
    <row r="732" spans="1:11">
      <c r="A732" s="16">
        <v>0</v>
      </c>
      <c r="B732" s="17" t="s">
        <v>278</v>
      </c>
      <c r="C732" s="57">
        <v>7120</v>
      </c>
      <c r="D732" s="19">
        <v>21379.51</v>
      </c>
      <c r="E732" s="19">
        <f>+D732*2</f>
        <v>42759.02</v>
      </c>
      <c r="F732" s="20">
        <v>50000</v>
      </c>
      <c r="G732" s="21">
        <v>0</v>
      </c>
      <c r="H732" s="34">
        <f t="shared" ref="H732:I732" si="379">G732*6.3%+G732</f>
        <v>0</v>
      </c>
      <c r="I732" s="34">
        <f t="shared" si="379"/>
        <v>0</v>
      </c>
      <c r="J732" s="32"/>
      <c r="K732" s="32"/>
    </row>
    <row r="733" spans="1:11">
      <c r="A733" s="16">
        <v>169217.82</v>
      </c>
      <c r="B733" s="17" t="s">
        <v>277</v>
      </c>
      <c r="C733" s="57">
        <v>6528</v>
      </c>
      <c r="D733" s="19">
        <v>32822.26</v>
      </c>
      <c r="E733" s="19">
        <f>+D733*2</f>
        <v>65644.52</v>
      </c>
      <c r="F733" s="20">
        <f>+A733*0.1+A733</f>
        <v>186139.60200000001</v>
      </c>
      <c r="G733" s="21">
        <f>E733*6.3%+E733</f>
        <v>69780.124760000006</v>
      </c>
      <c r="H733" s="34">
        <f t="shared" ref="H733:I733" si="380">G733*6.3%+G733</f>
        <v>74176.272619880008</v>
      </c>
      <c r="I733" s="34">
        <f t="shared" si="380"/>
        <v>78849.377794932443</v>
      </c>
      <c r="J733" s="32"/>
      <c r="K733" s="32"/>
    </row>
    <row r="734" spans="1:11">
      <c r="A734" s="45">
        <f>SUM(A714:A733)</f>
        <v>697339.01</v>
      </c>
      <c r="B734" s="17"/>
      <c r="C734" s="18"/>
      <c r="D734" s="49">
        <f>SUM(D714:D733)</f>
        <v>274252.58999999997</v>
      </c>
      <c r="E734" s="45">
        <f>SUM(E714:E733)</f>
        <v>681603.32000000007</v>
      </c>
      <c r="F734" s="45">
        <f>SUM(F714:F733)</f>
        <v>731309.60199999996</v>
      </c>
      <c r="G734" s="31">
        <f>SUM(G714:G733)</f>
        <v>782875.73488</v>
      </c>
      <c r="H734" s="45">
        <f t="shared" ref="H734:I734" si="381">SUM(H714:H733)</f>
        <v>832196.90617744008</v>
      </c>
      <c r="I734" s="45">
        <f t="shared" si="381"/>
        <v>884625.3112666189</v>
      </c>
      <c r="J734" s="32"/>
      <c r="K734" s="32"/>
    </row>
    <row r="735" spans="1:11">
      <c r="A735" s="37">
        <f>+A734-428871.19</f>
        <v>268467.82</v>
      </c>
      <c r="B735" s="17"/>
      <c r="C735" s="18"/>
      <c r="D735" s="19"/>
      <c r="E735" s="19"/>
      <c r="F735" s="45"/>
      <c r="G735" s="31"/>
      <c r="H735" s="45"/>
      <c r="I735" s="45"/>
      <c r="J735" s="32"/>
      <c r="K735" s="32"/>
    </row>
    <row r="736" spans="1:11">
      <c r="A736" s="37"/>
      <c r="B736" s="39" t="s">
        <v>69</v>
      </c>
      <c r="C736" s="18"/>
      <c r="D736" s="19"/>
      <c r="E736" s="19"/>
      <c r="F736" s="45"/>
      <c r="G736" s="31"/>
      <c r="H736" s="45"/>
      <c r="I736" s="45"/>
      <c r="J736" s="32"/>
      <c r="K736" s="32"/>
    </row>
    <row r="737" spans="1:11">
      <c r="A737" s="16">
        <f>+F737</f>
        <v>21000</v>
      </c>
      <c r="B737" s="17" t="s">
        <v>176</v>
      </c>
      <c r="C737" s="18">
        <v>7240</v>
      </c>
      <c r="D737" s="19">
        <v>7977.26</v>
      </c>
      <c r="E737" s="20">
        <v>21000</v>
      </c>
      <c r="F737" s="20">
        <v>21000</v>
      </c>
      <c r="G737" s="21">
        <v>15000</v>
      </c>
      <c r="H737" s="34">
        <f t="shared" ref="H737:I738" si="382">+G737*6.3/100+G737</f>
        <v>15945</v>
      </c>
      <c r="I737" s="34">
        <f t="shared" si="382"/>
        <v>16949.535</v>
      </c>
      <c r="J737" s="32"/>
      <c r="K737" s="32"/>
    </row>
    <row r="738" spans="1:11">
      <c r="A738" s="16">
        <v>0</v>
      </c>
      <c r="B738" s="17" t="s">
        <v>42</v>
      </c>
      <c r="C738" s="18">
        <v>7350</v>
      </c>
      <c r="D738" s="19">
        <v>24247.599999999999</v>
      </c>
      <c r="E738" s="34">
        <v>80000</v>
      </c>
      <c r="F738" s="34">
        <v>80000</v>
      </c>
      <c r="G738" s="21">
        <f>+F738*6.3/100+F738</f>
        <v>85040</v>
      </c>
      <c r="H738" s="34">
        <f t="shared" si="382"/>
        <v>90397.52</v>
      </c>
      <c r="I738" s="34">
        <f t="shared" si="382"/>
        <v>96092.563760000005</v>
      </c>
      <c r="J738" s="32"/>
      <c r="K738" s="32"/>
    </row>
    <row r="739" spans="1:11">
      <c r="A739" s="16">
        <v>400000</v>
      </c>
      <c r="B739" s="17" t="s">
        <v>213</v>
      </c>
      <c r="C739" s="18"/>
      <c r="D739" s="19"/>
      <c r="E739" s="19"/>
      <c r="F739" s="34">
        <v>0</v>
      </c>
      <c r="G739" s="21">
        <v>0</v>
      </c>
      <c r="H739" s="34">
        <v>0</v>
      </c>
      <c r="I739" s="34">
        <v>0</v>
      </c>
      <c r="J739" s="32"/>
      <c r="K739" s="32"/>
    </row>
    <row r="740" spans="1:11">
      <c r="A740" s="45">
        <f>SUM(A737:A739)</f>
        <v>421000</v>
      </c>
      <c r="B740" s="17"/>
      <c r="C740" s="18"/>
      <c r="D740" s="49">
        <f t="shared" ref="D740:I740" si="383">SUM(D737:D739)</f>
        <v>32224.86</v>
      </c>
      <c r="E740" s="45">
        <f t="shared" si="383"/>
        <v>101000</v>
      </c>
      <c r="F740" s="45">
        <f t="shared" si="383"/>
        <v>101000</v>
      </c>
      <c r="G740" s="31">
        <f t="shared" si="383"/>
        <v>100040</v>
      </c>
      <c r="H740" s="45">
        <f t="shared" si="383"/>
        <v>106342.52</v>
      </c>
      <c r="I740" s="45">
        <f t="shared" si="383"/>
        <v>113042.09876000001</v>
      </c>
      <c r="J740" s="32"/>
      <c r="K740" s="32"/>
    </row>
    <row r="741" spans="1:11">
      <c r="A741" s="37"/>
      <c r="B741" s="39" t="s">
        <v>44</v>
      </c>
      <c r="C741" s="18"/>
      <c r="D741" s="19"/>
      <c r="E741" s="19"/>
      <c r="F741" s="45"/>
      <c r="G741" s="31"/>
      <c r="H741" s="45"/>
      <c r="I741" s="45"/>
      <c r="J741" s="32"/>
      <c r="K741" s="32"/>
    </row>
    <row r="742" spans="1:11">
      <c r="A742" s="20">
        <v>21100</v>
      </c>
      <c r="B742" s="17" t="s">
        <v>214</v>
      </c>
      <c r="C742" s="18">
        <v>7800</v>
      </c>
      <c r="D742" s="19">
        <v>47681.84</v>
      </c>
      <c r="E742" s="19">
        <f>D742*2</f>
        <v>95363.68</v>
      </c>
      <c r="F742" s="20">
        <v>37853</v>
      </c>
      <c r="G742" s="21">
        <f>E742*10/100+E742</f>
        <v>104900.048</v>
      </c>
      <c r="H742" s="20">
        <f>+G742*0.1+G742</f>
        <v>115390.05279999999</v>
      </c>
      <c r="I742" s="20">
        <f>+H742*0.1+H742</f>
        <v>126929.05807999999</v>
      </c>
      <c r="J742" s="32"/>
      <c r="K742" s="32"/>
    </row>
    <row r="743" spans="1:11">
      <c r="A743" s="37"/>
      <c r="B743" s="17"/>
      <c r="C743" s="18"/>
      <c r="D743" s="19"/>
      <c r="E743" s="19"/>
      <c r="F743" s="20"/>
      <c r="G743" s="21"/>
      <c r="H743" s="20"/>
      <c r="I743" s="20"/>
      <c r="J743" s="32"/>
      <c r="K743" s="32"/>
    </row>
    <row r="744" spans="1:11">
      <c r="A744" s="45">
        <f>+A742+A740+A734+A712</f>
        <v>3151955.34</v>
      </c>
      <c r="B744" s="39" t="s">
        <v>46</v>
      </c>
      <c r="C744" s="18"/>
      <c r="D744" s="45">
        <f t="shared" ref="D744:E744" si="384">+D742+D740+D734+D712</f>
        <v>1647073.57</v>
      </c>
      <c r="E744" s="45">
        <f t="shared" si="384"/>
        <v>3508307.4699999997</v>
      </c>
      <c r="F744" s="45">
        <f>+F742+F740+F734+F712</f>
        <v>3032373.0219999994</v>
      </c>
      <c r="G744" s="31">
        <f t="shared" ref="G744:I744" si="385">+G742+G740+G734+G712</f>
        <v>3329489.6677400004</v>
      </c>
      <c r="H744" s="45">
        <f t="shared" si="385"/>
        <v>3589962.2962808199</v>
      </c>
      <c r="I744" s="45">
        <f t="shared" si="385"/>
        <v>3871120.0092461789</v>
      </c>
      <c r="J744" s="32"/>
      <c r="K744" s="32"/>
    </row>
    <row r="745" spans="1:11">
      <c r="A745" s="30">
        <f>+A699-A744</f>
        <v>-714538.7799999998</v>
      </c>
      <c r="B745" s="44" t="str">
        <f>B60</f>
        <v>NETT AMOUNT</v>
      </c>
      <c r="C745" s="17"/>
      <c r="D745" s="30">
        <f t="shared" ref="D745:E745" si="386">+D699-D744</f>
        <v>-598200.83000000007</v>
      </c>
      <c r="E745" s="30">
        <f t="shared" si="386"/>
        <v>-1222687.77</v>
      </c>
      <c r="F745" s="30">
        <f>+F699-F744</f>
        <v>186443.53800000064</v>
      </c>
      <c r="G745" s="31">
        <f t="shared" ref="G745:I745" si="387">+G699-G744</f>
        <v>-1041584.3480400005</v>
      </c>
      <c r="H745" s="30">
        <f t="shared" si="387"/>
        <v>-49264.080280819908</v>
      </c>
      <c r="I745" s="30">
        <f t="shared" si="387"/>
        <v>-1354424.1575761787</v>
      </c>
      <c r="J745" s="32"/>
      <c r="K745" s="32"/>
    </row>
    <row r="746" spans="1:11">
      <c r="A746" s="30"/>
      <c r="B746" s="44"/>
      <c r="C746" s="17"/>
      <c r="D746" s="19"/>
      <c r="E746" s="19"/>
      <c r="F746" s="30"/>
      <c r="G746" s="31"/>
      <c r="H746" s="30"/>
      <c r="I746" s="30"/>
      <c r="J746" s="32"/>
      <c r="K746" s="32"/>
    </row>
    <row r="747" spans="1:11">
      <c r="A747" s="37"/>
      <c r="B747" s="17"/>
      <c r="C747" s="18"/>
      <c r="D747" s="19"/>
      <c r="E747" s="19"/>
      <c r="F747" s="37"/>
      <c r="G747" s="50"/>
      <c r="H747" s="37"/>
      <c r="I747" s="37"/>
      <c r="J747" s="32"/>
      <c r="K747" s="32"/>
    </row>
    <row r="748" spans="1:11">
      <c r="A748" s="37" t="s">
        <v>72</v>
      </c>
      <c r="B748" s="17"/>
      <c r="C748" s="18"/>
      <c r="D748" s="18" t="s">
        <v>469</v>
      </c>
      <c r="E748" s="18" t="s">
        <v>473</v>
      </c>
      <c r="F748" s="18" t="s">
        <v>73</v>
      </c>
      <c r="G748" s="24" t="s">
        <v>73</v>
      </c>
      <c r="H748" s="22" t="s">
        <v>651</v>
      </c>
      <c r="I748" s="22" t="s">
        <v>651</v>
      </c>
      <c r="J748" s="32"/>
      <c r="K748" s="32"/>
    </row>
    <row r="749" spans="1:11">
      <c r="A749" s="37" t="s">
        <v>10</v>
      </c>
      <c r="B749" s="29" t="s">
        <v>215</v>
      </c>
      <c r="C749" s="18" t="str">
        <f>C2</f>
        <v>ABAKUS</v>
      </c>
      <c r="D749" s="18" t="s">
        <v>470</v>
      </c>
      <c r="E749" s="18" t="s">
        <v>10</v>
      </c>
      <c r="F749" s="18" t="s">
        <v>11</v>
      </c>
      <c r="G749" s="24" t="s">
        <v>498</v>
      </c>
      <c r="H749" s="22" t="s">
        <v>500</v>
      </c>
      <c r="I749" s="22" t="s">
        <v>498</v>
      </c>
      <c r="J749" s="32"/>
      <c r="K749" s="32"/>
    </row>
    <row r="750" spans="1:11">
      <c r="A750" s="37" t="s">
        <v>13</v>
      </c>
      <c r="B750" s="17"/>
      <c r="C750" s="18" t="str">
        <f>C3</f>
        <v>VOTES</v>
      </c>
      <c r="D750" s="18" t="s">
        <v>14</v>
      </c>
      <c r="E750" s="18" t="s">
        <v>14</v>
      </c>
      <c r="F750" s="18" t="s">
        <v>14</v>
      </c>
      <c r="G750" s="24" t="s">
        <v>15</v>
      </c>
      <c r="H750" s="22" t="s">
        <v>272</v>
      </c>
      <c r="I750" s="22" t="s">
        <v>285</v>
      </c>
      <c r="J750" s="32"/>
      <c r="K750" s="32"/>
    </row>
    <row r="751" spans="1:11">
      <c r="A751" s="37"/>
      <c r="B751" s="18" t="s">
        <v>216</v>
      </c>
      <c r="C751" s="18"/>
      <c r="D751" s="19"/>
      <c r="E751" s="19"/>
      <c r="F751" s="30"/>
      <c r="G751" s="31"/>
      <c r="H751" s="30"/>
      <c r="I751" s="30"/>
      <c r="J751" s="32"/>
      <c r="K751" s="32"/>
    </row>
    <row r="752" spans="1:11">
      <c r="A752" s="37"/>
      <c r="B752" s="17"/>
      <c r="C752" s="18"/>
      <c r="D752" s="19"/>
      <c r="E752" s="19"/>
      <c r="F752" s="30"/>
      <c r="G752" s="31"/>
      <c r="H752" s="30"/>
      <c r="I752" s="30"/>
      <c r="J752" s="32"/>
      <c r="K752" s="32"/>
    </row>
    <row r="753" spans="1:11">
      <c r="A753" s="38"/>
      <c r="B753" s="29" t="s">
        <v>16</v>
      </c>
      <c r="C753" s="29"/>
      <c r="D753" s="40"/>
      <c r="E753" s="40"/>
      <c r="F753" s="30"/>
      <c r="G753" s="31"/>
      <c r="H753" s="30"/>
      <c r="I753" s="30"/>
      <c r="J753" s="32"/>
      <c r="K753" s="32"/>
    </row>
    <row r="754" spans="1:11">
      <c r="A754" s="38"/>
      <c r="B754" s="29"/>
      <c r="C754" s="29"/>
      <c r="D754" s="40"/>
      <c r="E754" s="40"/>
      <c r="F754" s="30"/>
      <c r="G754" s="31"/>
      <c r="H754" s="30"/>
      <c r="I754" s="30"/>
      <c r="J754" s="32"/>
      <c r="K754" s="32"/>
    </row>
    <row r="755" spans="1:11">
      <c r="A755" s="16">
        <v>409160</v>
      </c>
      <c r="B755" s="17" t="s">
        <v>51</v>
      </c>
      <c r="C755" s="18">
        <v>5270</v>
      </c>
      <c r="D755" s="19">
        <v>0</v>
      </c>
      <c r="E755" s="19">
        <f>F755</f>
        <v>650076</v>
      </c>
      <c r="F755" s="20">
        <f>+A755*0.1+A755+200000</f>
        <v>650076</v>
      </c>
      <c r="G755" s="21">
        <f>+F755*0.1+F755-50000</f>
        <v>665083.6</v>
      </c>
      <c r="H755" s="20">
        <f>+G755*0.1+G755</f>
        <v>731591.96</v>
      </c>
      <c r="I755" s="20">
        <f>+H755*0.1+H755</f>
        <v>804751.15599999996</v>
      </c>
      <c r="J755" s="32"/>
      <c r="K755" s="32"/>
    </row>
    <row r="756" spans="1:11">
      <c r="A756" s="45">
        <f>SUM(A755:A755)</f>
        <v>409160</v>
      </c>
      <c r="B756" s="17"/>
      <c r="C756" s="18"/>
      <c r="D756" s="45">
        <f t="shared" ref="D756:E756" si="388">SUM(D755:D755)</f>
        <v>0</v>
      </c>
      <c r="E756" s="45">
        <f t="shared" si="388"/>
        <v>650076</v>
      </c>
      <c r="F756" s="45">
        <f>SUM(F755:F755)</f>
        <v>650076</v>
      </c>
      <c r="G756" s="31">
        <f>SUM(G755:G755)</f>
        <v>665083.6</v>
      </c>
      <c r="H756" s="45">
        <f t="shared" ref="H756:I756" si="389">SUM(H755:H755)</f>
        <v>731591.96</v>
      </c>
      <c r="I756" s="45">
        <f t="shared" si="389"/>
        <v>804751.15599999996</v>
      </c>
      <c r="J756" s="32"/>
      <c r="K756" s="32"/>
    </row>
    <row r="757" spans="1:11">
      <c r="A757" s="37"/>
      <c r="B757" s="29" t="s">
        <v>22</v>
      </c>
      <c r="C757" s="18"/>
      <c r="D757" s="19"/>
      <c r="E757" s="19"/>
      <c r="F757" s="30"/>
      <c r="G757" s="31"/>
      <c r="H757" s="30"/>
      <c r="I757" s="30"/>
      <c r="J757" s="32"/>
      <c r="K757" s="32"/>
    </row>
    <row r="758" spans="1:11">
      <c r="A758" s="37"/>
      <c r="B758" s="17"/>
      <c r="C758" s="18"/>
      <c r="D758" s="19"/>
      <c r="E758" s="19"/>
      <c r="F758" s="30"/>
      <c r="G758" s="31"/>
      <c r="H758" s="30"/>
      <c r="I758" s="30"/>
      <c r="J758" s="32"/>
      <c r="K758" s="32"/>
    </row>
    <row r="759" spans="1:11">
      <c r="A759" s="38"/>
      <c r="B759" s="39" t="s">
        <v>23</v>
      </c>
      <c r="C759" s="29"/>
      <c r="D759" s="40"/>
      <c r="E759" s="40"/>
      <c r="F759" s="30"/>
      <c r="G759" s="31"/>
      <c r="H759" s="30"/>
      <c r="I759" s="30"/>
      <c r="J759" s="32"/>
      <c r="K759" s="32"/>
    </row>
    <row r="760" spans="1:11">
      <c r="A760" s="16">
        <v>517715.24</v>
      </c>
      <c r="B760" s="17" t="s">
        <v>81</v>
      </c>
      <c r="C760" s="18">
        <v>6010</v>
      </c>
      <c r="D760" s="19">
        <v>335599.69</v>
      </c>
      <c r="E760" s="19">
        <f>+D760*2</f>
        <v>671199.38</v>
      </c>
      <c r="F760" s="20">
        <f>+'[1]STAFF SALARIES SUMMARY'!C19+'[1]STAFF SALARIES SUMMARY'!D19</f>
        <v>587788.92000000004</v>
      </c>
      <c r="G760" s="21">
        <f>+F760*6.3/100+F760</f>
        <v>624819.62196000002</v>
      </c>
      <c r="H760" s="20">
        <f>+G760*6.3/100+G760</f>
        <v>664183.25814348005</v>
      </c>
      <c r="I760" s="20">
        <f>+H760*6.3/100+H760</f>
        <v>706026.80340651935</v>
      </c>
      <c r="J760" s="32"/>
      <c r="K760" s="32"/>
    </row>
    <row r="761" spans="1:11">
      <c r="A761" s="16">
        <v>7891.2</v>
      </c>
      <c r="B761" s="17" t="s">
        <v>55</v>
      </c>
      <c r="C761" s="18">
        <v>6030</v>
      </c>
      <c r="D761" s="19">
        <v>1327.2</v>
      </c>
      <c r="E761" s="19">
        <f>D761*2</f>
        <v>2654.4</v>
      </c>
      <c r="F761" s="20">
        <f>+'[1]STAFF SALARIES SUMMARY'!I19</f>
        <v>0</v>
      </c>
      <c r="G761" s="21">
        <f>+E761*6.3/100+E761</f>
        <v>2821.6271999999999</v>
      </c>
      <c r="H761" s="20">
        <f t="shared" ref="H761:I761" si="390">+G761*6.3/100+G761</f>
        <v>2999.3897136000001</v>
      </c>
      <c r="I761" s="20">
        <f t="shared" si="390"/>
        <v>3188.3512655568002</v>
      </c>
      <c r="J761" s="32"/>
      <c r="K761" s="32"/>
    </row>
    <row r="762" spans="1:11">
      <c r="A762" s="16">
        <v>83709.2</v>
      </c>
      <c r="B762" s="17" t="s">
        <v>133</v>
      </c>
      <c r="C762" s="18">
        <v>6040</v>
      </c>
      <c r="D762" s="19">
        <v>67686.48</v>
      </c>
      <c r="E762" s="19">
        <f>F762</f>
        <v>135643.6</v>
      </c>
      <c r="F762" s="20">
        <f>+'[1]STAFF SALARIES SUMMARY'!G19</f>
        <v>135643.6</v>
      </c>
      <c r="G762" s="21">
        <f t="shared" ref="G762:I762" si="391">+F762*6.3/100+F762</f>
        <v>144189.14680000002</v>
      </c>
      <c r="H762" s="20">
        <f t="shared" si="391"/>
        <v>153273.06304840001</v>
      </c>
      <c r="I762" s="20">
        <f t="shared" si="391"/>
        <v>162929.26602044923</v>
      </c>
      <c r="J762" s="32"/>
      <c r="K762" s="32"/>
    </row>
    <row r="763" spans="1:11">
      <c r="A763" s="16">
        <v>106869.42</v>
      </c>
      <c r="B763" s="17" t="s">
        <v>115</v>
      </c>
      <c r="C763" s="18">
        <v>6050</v>
      </c>
      <c r="D763" s="19">
        <v>68698.350000000006</v>
      </c>
      <c r="E763" s="19">
        <f>+D763*2</f>
        <v>137396.70000000001</v>
      </c>
      <c r="F763" s="20">
        <f>+'[1]STAFF SALARIES SUMMARY'!H19</f>
        <v>95226.21</v>
      </c>
      <c r="G763" s="21">
        <f t="shared" ref="G763:I763" si="392">+F763*6.3/100+F763</f>
        <v>101225.46123</v>
      </c>
      <c r="H763" s="20">
        <f t="shared" si="392"/>
        <v>107602.66528749</v>
      </c>
      <c r="I763" s="20">
        <f t="shared" si="392"/>
        <v>114381.63320060188</v>
      </c>
      <c r="J763" s="32"/>
      <c r="K763" s="32"/>
    </row>
    <row r="764" spans="1:11">
      <c r="A764" s="16"/>
      <c r="B764" s="17" t="s">
        <v>85</v>
      </c>
      <c r="C764" s="18">
        <v>6070</v>
      </c>
      <c r="D764" s="19">
        <v>2207.86</v>
      </c>
      <c r="E764" s="19">
        <f>+D764*2</f>
        <v>4415.72</v>
      </c>
      <c r="F764" s="20"/>
      <c r="G764" s="21">
        <f>+E764*6.3/100+E764</f>
        <v>4693.9103599999999</v>
      </c>
      <c r="H764" s="20">
        <f t="shared" ref="H764:I764" si="393">+G764*6.3/100+G764</f>
        <v>4989.6267126799994</v>
      </c>
      <c r="I764" s="20">
        <f t="shared" si="393"/>
        <v>5303.9731955788393</v>
      </c>
      <c r="J764" s="32"/>
      <c r="K764" s="32"/>
    </row>
    <row r="765" spans="1:11">
      <c r="A765" s="16">
        <v>0</v>
      </c>
      <c r="B765" s="17" t="s">
        <v>217</v>
      </c>
      <c r="C765" s="18">
        <v>6085</v>
      </c>
      <c r="D765" s="19">
        <v>0</v>
      </c>
      <c r="E765" s="19">
        <v>0</v>
      </c>
      <c r="F765" s="20">
        <f>+'[1]STAFF SALARIES SUMMARY'!F19</f>
        <v>0</v>
      </c>
      <c r="G765" s="21">
        <f t="shared" ref="G765:I765" si="394">+F765*6.3/100+F765</f>
        <v>0</v>
      </c>
      <c r="H765" s="20">
        <f t="shared" si="394"/>
        <v>0</v>
      </c>
      <c r="I765" s="20">
        <f t="shared" si="394"/>
        <v>0</v>
      </c>
      <c r="J765" s="32"/>
      <c r="K765" s="32"/>
    </row>
    <row r="766" spans="1:11">
      <c r="A766" s="16">
        <v>345</v>
      </c>
      <c r="B766" s="17" t="s">
        <v>86</v>
      </c>
      <c r="C766" s="18">
        <v>6088</v>
      </c>
      <c r="D766" s="19">
        <v>243.75</v>
      </c>
      <c r="E766" s="19">
        <f>F766</f>
        <v>552.5</v>
      </c>
      <c r="F766" s="20">
        <f>+'[1]STAFF SALARIES SUMMARY'!K19</f>
        <v>552.5</v>
      </c>
      <c r="G766" s="21">
        <f t="shared" ref="G766:I766" si="395">+F766*6.3/100+F766</f>
        <v>587.3075</v>
      </c>
      <c r="H766" s="20">
        <f t="shared" si="395"/>
        <v>624.30787250000003</v>
      </c>
      <c r="I766" s="20">
        <f t="shared" si="395"/>
        <v>663.63926846750007</v>
      </c>
      <c r="J766" s="32"/>
      <c r="K766" s="32"/>
    </row>
    <row r="767" spans="1:11">
      <c r="A767" s="16">
        <v>6250.14</v>
      </c>
      <c r="B767" s="17" t="s">
        <v>0</v>
      </c>
      <c r="C767" s="18">
        <v>6087</v>
      </c>
      <c r="D767" s="19">
        <v>4027.86</v>
      </c>
      <c r="E767" s="19">
        <f>+D767*2</f>
        <v>8055.72</v>
      </c>
      <c r="F767" s="20">
        <f>+'[1]STAFF SALARIES SUMMARY'!J19</f>
        <v>5425.74</v>
      </c>
      <c r="G767" s="21">
        <f t="shared" ref="G767:I767" si="396">+F767*6.3/100+F767</f>
        <v>5767.5616199999995</v>
      </c>
      <c r="H767" s="20">
        <f t="shared" si="396"/>
        <v>6130.9180020599997</v>
      </c>
      <c r="I767" s="20">
        <f t="shared" si="396"/>
        <v>6517.1658361897798</v>
      </c>
      <c r="J767" s="32"/>
      <c r="K767" s="32"/>
    </row>
    <row r="768" spans="1:11">
      <c r="A768" s="45">
        <f>SUM(A760:A767)</f>
        <v>722780.2</v>
      </c>
      <c r="B768" s="17"/>
      <c r="C768" s="18"/>
      <c r="D768" s="49">
        <f t="shared" ref="D768:I768" si="397">SUM(D760:D767)</f>
        <v>479791.18999999994</v>
      </c>
      <c r="E768" s="45">
        <f t="shared" si="397"/>
        <v>959918.02</v>
      </c>
      <c r="F768" s="45">
        <f t="shared" si="397"/>
        <v>824636.97</v>
      </c>
      <c r="G768" s="31">
        <f t="shared" si="397"/>
        <v>884104.63667000004</v>
      </c>
      <c r="H768" s="45">
        <f t="shared" si="397"/>
        <v>939803.22878021013</v>
      </c>
      <c r="I768" s="45">
        <f t="shared" si="397"/>
        <v>999010.83219336334</v>
      </c>
      <c r="J768" s="32"/>
      <c r="K768" s="32"/>
    </row>
    <row r="769" spans="1:11">
      <c r="A769" s="38"/>
      <c r="B769" s="39" t="s">
        <v>30</v>
      </c>
      <c r="C769" s="29"/>
      <c r="D769" s="40"/>
      <c r="E769" s="40"/>
      <c r="F769" s="30"/>
      <c r="G769" s="31"/>
      <c r="H769" s="30"/>
      <c r="I769" s="30"/>
      <c r="J769" s="32"/>
      <c r="K769" s="32"/>
    </row>
    <row r="770" spans="1:11">
      <c r="A770" s="16">
        <v>2000</v>
      </c>
      <c r="B770" s="17" t="s">
        <v>218</v>
      </c>
      <c r="C770" s="18">
        <v>6420</v>
      </c>
      <c r="D770" s="19">
        <v>0</v>
      </c>
      <c r="E770" s="19">
        <f>+F770</f>
        <v>2000</v>
      </c>
      <c r="F770" s="20">
        <v>2000</v>
      </c>
      <c r="G770" s="21">
        <f t="shared" ref="G770:I771" si="398">F770*6.3%+F770</f>
        <v>2126</v>
      </c>
      <c r="H770" s="20">
        <f t="shared" si="398"/>
        <v>2259.9380000000001</v>
      </c>
      <c r="I770" s="20">
        <f t="shared" si="398"/>
        <v>2402.3140940000003</v>
      </c>
      <c r="J770" s="32"/>
      <c r="K770" s="32"/>
    </row>
    <row r="771" spans="1:11">
      <c r="A771" s="16">
        <v>980</v>
      </c>
      <c r="B771" s="17" t="s">
        <v>90</v>
      </c>
      <c r="C771" s="18">
        <v>6540</v>
      </c>
      <c r="D771" s="19">
        <v>520.34</v>
      </c>
      <c r="E771" s="19">
        <f>+F771</f>
        <v>980</v>
      </c>
      <c r="F771" s="20">
        <v>980</v>
      </c>
      <c r="G771" s="21">
        <f t="shared" si="398"/>
        <v>1041.74</v>
      </c>
      <c r="H771" s="20">
        <f t="shared" si="398"/>
        <v>1107.3696199999999</v>
      </c>
      <c r="I771" s="20">
        <f t="shared" si="398"/>
        <v>1177.1339060599998</v>
      </c>
      <c r="J771" s="32"/>
      <c r="K771" s="32"/>
    </row>
    <row r="772" spans="1:11">
      <c r="A772" s="16">
        <v>4550</v>
      </c>
      <c r="B772" s="17" t="s">
        <v>219</v>
      </c>
      <c r="C772" s="18">
        <v>6570</v>
      </c>
      <c r="D772" s="19">
        <v>0</v>
      </c>
      <c r="E772" s="19">
        <f>+F772/2</f>
        <v>2275</v>
      </c>
      <c r="F772" s="20">
        <v>4550</v>
      </c>
      <c r="G772" s="21">
        <f>E772</f>
        <v>2275</v>
      </c>
      <c r="H772" s="20">
        <f t="shared" ref="H772:I772" si="399">G772*6.3%+G772</f>
        <v>2418.3249999999998</v>
      </c>
      <c r="I772" s="20">
        <f t="shared" si="399"/>
        <v>2570.6794749999999</v>
      </c>
      <c r="J772" s="32"/>
      <c r="K772" s="32"/>
    </row>
    <row r="773" spans="1:11">
      <c r="A773" s="16">
        <v>4263.84</v>
      </c>
      <c r="B773" s="17" t="s">
        <v>316</v>
      </c>
      <c r="C773" s="18">
        <v>7090</v>
      </c>
      <c r="D773" s="19">
        <v>0</v>
      </c>
      <c r="E773" s="19">
        <f>+F773/2</f>
        <v>2345.1120000000001</v>
      </c>
      <c r="F773" s="20">
        <f>+A773*0.1+A773</f>
        <v>4690.2240000000002</v>
      </c>
      <c r="G773" s="21">
        <f t="shared" ref="G773:I773" si="400">F773*6.3%+F773</f>
        <v>4985.7081120000003</v>
      </c>
      <c r="H773" s="20">
        <f t="shared" si="400"/>
        <v>5299.8077230560002</v>
      </c>
      <c r="I773" s="20">
        <f t="shared" si="400"/>
        <v>5633.6956096085287</v>
      </c>
      <c r="J773" s="32"/>
      <c r="K773" s="32"/>
    </row>
    <row r="774" spans="1:11">
      <c r="A774" s="16">
        <v>2830</v>
      </c>
      <c r="B774" s="17" t="s">
        <v>62</v>
      </c>
      <c r="C774" s="18">
        <v>6690</v>
      </c>
      <c r="D774" s="19">
        <v>0</v>
      </c>
      <c r="E774" s="19">
        <v>0</v>
      </c>
      <c r="F774" s="20">
        <v>2830</v>
      </c>
      <c r="G774" s="21">
        <f t="shared" ref="G774:I774" si="401">F774*6.3%+F774</f>
        <v>3008.29</v>
      </c>
      <c r="H774" s="20">
        <f t="shared" si="401"/>
        <v>3197.8122699999999</v>
      </c>
      <c r="I774" s="20">
        <f t="shared" si="401"/>
        <v>3399.2744430099997</v>
      </c>
      <c r="J774" s="32"/>
      <c r="K774" s="32"/>
    </row>
    <row r="775" spans="1:11">
      <c r="A775" s="16">
        <v>1138.68</v>
      </c>
      <c r="B775" s="17" t="s">
        <v>220</v>
      </c>
      <c r="C775" s="18">
        <v>6930</v>
      </c>
      <c r="D775" s="19">
        <v>0</v>
      </c>
      <c r="E775" s="19">
        <f>+F775/2</f>
        <v>2700</v>
      </c>
      <c r="F775" s="20">
        <v>5400</v>
      </c>
      <c r="G775" s="21">
        <f>E775</f>
        <v>2700</v>
      </c>
      <c r="H775" s="20">
        <f t="shared" ref="H775:I775" si="402">G775*6.3%+G775</f>
        <v>2870.1</v>
      </c>
      <c r="I775" s="20">
        <f t="shared" si="402"/>
        <v>3050.9162999999999</v>
      </c>
      <c r="J775" s="32"/>
      <c r="K775" s="32"/>
    </row>
    <row r="776" spans="1:11">
      <c r="A776" s="16">
        <v>0</v>
      </c>
      <c r="B776" s="17" t="s">
        <v>39</v>
      </c>
      <c r="C776" s="18">
        <v>6990</v>
      </c>
      <c r="D776" s="19"/>
      <c r="E776" s="19">
        <v>0</v>
      </c>
      <c r="F776" s="20">
        <v>0</v>
      </c>
      <c r="G776" s="21">
        <f t="shared" ref="G776:I776" si="403">F776*6.3%+F776</f>
        <v>0</v>
      </c>
      <c r="H776" s="20">
        <f t="shared" si="403"/>
        <v>0</v>
      </c>
      <c r="I776" s="20">
        <f t="shared" si="403"/>
        <v>0</v>
      </c>
      <c r="J776" s="32"/>
      <c r="K776" s="32"/>
    </row>
    <row r="777" spans="1:11">
      <c r="A777" s="16">
        <v>1100</v>
      </c>
      <c r="B777" s="17" t="s">
        <v>149</v>
      </c>
      <c r="C777" s="18">
        <v>7030</v>
      </c>
      <c r="D777" s="19">
        <v>141.94999999999999</v>
      </c>
      <c r="E777" s="19">
        <f>+F777/2</f>
        <v>605</v>
      </c>
      <c r="F777" s="20">
        <f>+A777*0.1+A777</f>
        <v>1210</v>
      </c>
      <c r="G777" s="21">
        <f t="shared" ref="G777:I777" si="404">F777*6.3%+F777</f>
        <v>1286.23</v>
      </c>
      <c r="H777" s="20">
        <f t="shared" si="404"/>
        <v>1367.2624900000001</v>
      </c>
      <c r="I777" s="20">
        <f t="shared" si="404"/>
        <v>1453.4000268700001</v>
      </c>
      <c r="J777" s="32"/>
      <c r="K777" s="32"/>
    </row>
    <row r="778" spans="1:11">
      <c r="A778" s="16">
        <v>18940</v>
      </c>
      <c r="B778" s="17" t="s">
        <v>65</v>
      </c>
      <c r="C778" s="18">
        <v>7081</v>
      </c>
      <c r="D778" s="19">
        <v>0</v>
      </c>
      <c r="E778" s="19">
        <f>+F778/2</f>
        <v>9470</v>
      </c>
      <c r="F778" s="20">
        <v>18940</v>
      </c>
      <c r="G778" s="21">
        <f>E778</f>
        <v>9470</v>
      </c>
      <c r="H778" s="20">
        <f t="shared" ref="H778:I779" si="405">G778*6.3%+G778</f>
        <v>10066.61</v>
      </c>
      <c r="I778" s="20">
        <f t="shared" si="405"/>
        <v>10700.806430000001</v>
      </c>
      <c r="J778" s="32"/>
      <c r="K778" s="32"/>
    </row>
    <row r="779" spans="1:11">
      <c r="A779" s="16">
        <v>20000</v>
      </c>
      <c r="B779" s="17" t="s">
        <v>197</v>
      </c>
      <c r="C779" s="18">
        <v>6500</v>
      </c>
      <c r="D779" s="19">
        <v>10140.469999999999</v>
      </c>
      <c r="E779" s="19">
        <f>+F779-150000</f>
        <v>350000</v>
      </c>
      <c r="F779" s="20">
        <v>500000</v>
      </c>
      <c r="G779" s="21">
        <v>700000</v>
      </c>
      <c r="H779" s="34">
        <f t="shared" si="405"/>
        <v>744100</v>
      </c>
      <c r="I779" s="34">
        <f t="shared" si="405"/>
        <v>790978.3</v>
      </c>
      <c r="J779" s="32"/>
      <c r="K779" s="32"/>
    </row>
    <row r="780" spans="1:11">
      <c r="A780" s="45">
        <f>SUM(A770:A778)</f>
        <v>35802.520000000004</v>
      </c>
      <c r="B780" s="44"/>
      <c r="C780" s="18"/>
      <c r="D780" s="49">
        <f>SUM(D770:D779)</f>
        <v>10802.759999999998</v>
      </c>
      <c r="E780" s="49">
        <f t="shared" ref="E780:I780" si="406">SUM(E770:E779)</f>
        <v>370375.11200000002</v>
      </c>
      <c r="F780" s="49">
        <f t="shared" si="406"/>
        <v>540600.22400000005</v>
      </c>
      <c r="G780" s="49">
        <f t="shared" si="406"/>
        <v>726892.96811200003</v>
      </c>
      <c r="H780" s="49">
        <f t="shared" si="406"/>
        <v>772687.22510305606</v>
      </c>
      <c r="I780" s="49">
        <f t="shared" si="406"/>
        <v>821366.52028454863</v>
      </c>
      <c r="J780" s="32"/>
      <c r="K780" s="32"/>
    </row>
    <row r="781" spans="1:11">
      <c r="A781" s="38"/>
      <c r="B781" s="39" t="s">
        <v>69</v>
      </c>
      <c r="C781" s="29"/>
      <c r="D781" s="40"/>
      <c r="E781" s="40"/>
      <c r="F781" s="30"/>
      <c r="G781" s="31"/>
      <c r="H781" s="30"/>
      <c r="I781" s="30"/>
      <c r="J781" s="32"/>
      <c r="K781" s="32"/>
    </row>
    <row r="782" spans="1:11">
      <c r="A782" s="16">
        <v>5300</v>
      </c>
      <c r="B782" s="17" t="s">
        <v>156</v>
      </c>
      <c r="C782" s="18">
        <v>7280</v>
      </c>
      <c r="D782" s="19">
        <v>259.87</v>
      </c>
      <c r="E782" s="19">
        <f>+F782</f>
        <v>5300</v>
      </c>
      <c r="F782" s="20">
        <v>5300</v>
      </c>
      <c r="G782" s="21">
        <v>5000</v>
      </c>
      <c r="H782" s="20">
        <f t="shared" ref="H782:I783" si="407">G782*6.3%+5300</f>
        <v>5615</v>
      </c>
      <c r="I782" s="20">
        <f t="shared" si="407"/>
        <v>5653.7449999999999</v>
      </c>
      <c r="J782" s="32"/>
      <c r="K782" s="32"/>
    </row>
    <row r="783" spans="1:11">
      <c r="A783" s="16">
        <v>31500</v>
      </c>
      <c r="B783" s="17" t="s">
        <v>221</v>
      </c>
      <c r="C783" s="18">
        <v>48</v>
      </c>
      <c r="D783" s="19">
        <v>9227.7199999999993</v>
      </c>
      <c r="E783" s="19">
        <f>+F783</f>
        <v>31500</v>
      </c>
      <c r="F783" s="20">
        <v>31500</v>
      </c>
      <c r="G783" s="21">
        <v>20000</v>
      </c>
      <c r="H783" s="20">
        <f t="shared" si="407"/>
        <v>6560</v>
      </c>
      <c r="I783" s="20">
        <f t="shared" si="407"/>
        <v>5713.28</v>
      </c>
      <c r="J783" s="32"/>
      <c r="K783" s="32"/>
    </row>
    <row r="784" spans="1:11">
      <c r="A784" s="34">
        <f>SUM(A782:A783)</f>
        <v>36800</v>
      </c>
      <c r="B784" s="17"/>
      <c r="C784" s="57"/>
      <c r="D784" s="51">
        <f t="shared" ref="D784:I784" si="408">SUM(D782:D783)</f>
        <v>9487.59</v>
      </c>
      <c r="E784" s="51">
        <f t="shared" si="408"/>
        <v>36800</v>
      </c>
      <c r="F784" s="51">
        <f t="shared" si="408"/>
        <v>36800</v>
      </c>
      <c r="G784" s="51">
        <f t="shared" si="408"/>
        <v>25000</v>
      </c>
      <c r="H784" s="51">
        <f t="shared" si="408"/>
        <v>12175</v>
      </c>
      <c r="I784" s="51">
        <f t="shared" si="408"/>
        <v>11367.025</v>
      </c>
      <c r="J784" s="32"/>
      <c r="K784" s="32"/>
    </row>
    <row r="785" spans="1:11">
      <c r="A785" s="30"/>
      <c r="B785" s="17"/>
      <c r="C785" s="18"/>
      <c r="D785" s="36"/>
      <c r="E785" s="36"/>
      <c r="F785" s="30"/>
      <c r="G785" s="31"/>
      <c r="H785" s="30"/>
      <c r="I785" s="30"/>
      <c r="J785" s="32"/>
      <c r="K785" s="32"/>
    </row>
    <row r="786" spans="1:11">
      <c r="A786" s="30">
        <v>0</v>
      </c>
      <c r="B786" s="17" t="s">
        <v>67</v>
      </c>
      <c r="C786" s="18">
        <v>7800</v>
      </c>
      <c r="D786" s="49">
        <v>12329.44</v>
      </c>
      <c r="E786" s="49">
        <f>+D786*12</f>
        <v>147953.28</v>
      </c>
      <c r="F786" s="30">
        <v>0</v>
      </c>
      <c r="G786" s="21">
        <f>+E786*0.1+E786</f>
        <v>162748.60800000001</v>
      </c>
      <c r="H786" s="20">
        <f>+G786*0.1+G786</f>
        <v>179023.4688</v>
      </c>
      <c r="I786" s="20">
        <f>+H786*0.1+H786</f>
        <v>196925.81568</v>
      </c>
      <c r="J786" s="32"/>
      <c r="K786" s="32"/>
    </row>
    <row r="787" spans="1:11">
      <c r="A787" s="37"/>
      <c r="B787" s="17"/>
      <c r="C787" s="18"/>
      <c r="D787" s="19"/>
      <c r="E787" s="19"/>
      <c r="F787" s="30"/>
      <c r="G787" s="31"/>
      <c r="H787" s="30"/>
      <c r="I787" s="30"/>
      <c r="J787" s="32"/>
      <c r="K787" s="32"/>
    </row>
    <row r="788" spans="1:11">
      <c r="A788" s="45">
        <f>+A784+A780+A768</f>
        <v>795382.72</v>
      </c>
      <c r="B788" s="39" t="s">
        <v>46</v>
      </c>
      <c r="C788" s="18"/>
      <c r="D788" s="45">
        <f>+D784+D780+D768+D786</f>
        <v>512410.97999999992</v>
      </c>
      <c r="E788" s="45">
        <f t="shared" ref="E788:F788" si="409">+E784+E780+E768+E786</f>
        <v>1515046.412</v>
      </c>
      <c r="F788" s="45">
        <f t="shared" si="409"/>
        <v>1402037.1940000001</v>
      </c>
      <c r="G788" s="31">
        <f t="shared" ref="G788:I788" si="410">+G784+G780+G768+G786</f>
        <v>1798746.2127820002</v>
      </c>
      <c r="H788" s="45">
        <f t="shared" si="410"/>
        <v>1903688.922683266</v>
      </c>
      <c r="I788" s="45">
        <f t="shared" si="410"/>
        <v>2028670.193157912</v>
      </c>
      <c r="J788" s="32"/>
      <c r="K788" s="32"/>
    </row>
    <row r="789" spans="1:11">
      <c r="A789" s="45">
        <f>+A756-A788</f>
        <v>-386222.72</v>
      </c>
      <c r="B789" s="44" t="str">
        <f>B60</f>
        <v>NETT AMOUNT</v>
      </c>
      <c r="C789" s="18"/>
      <c r="D789" s="45">
        <f>+D756-D788</f>
        <v>-512410.97999999992</v>
      </c>
      <c r="E789" s="45">
        <f>+E756-E788</f>
        <v>-864970.41200000001</v>
      </c>
      <c r="F789" s="45">
        <f>+F756-F788</f>
        <v>-751961.19400000013</v>
      </c>
      <c r="G789" s="31">
        <f t="shared" ref="G789:I789" si="411">+G756-G788</f>
        <v>-1133662.6127820001</v>
      </c>
      <c r="H789" s="45">
        <f t="shared" si="411"/>
        <v>-1172096.962683266</v>
      </c>
      <c r="I789" s="45">
        <f t="shared" si="411"/>
        <v>-1223919.037157912</v>
      </c>
      <c r="J789" s="32"/>
      <c r="K789" s="32"/>
    </row>
    <row r="790" spans="1:11">
      <c r="A790" s="37"/>
      <c r="B790" s="17"/>
      <c r="C790" s="18"/>
      <c r="D790" s="19"/>
      <c r="E790" s="19"/>
      <c r="F790" s="30"/>
      <c r="G790" s="31"/>
      <c r="H790" s="30"/>
      <c r="I790" s="30"/>
      <c r="J790" s="32"/>
      <c r="K790" s="32"/>
    </row>
    <row r="791" spans="1:11">
      <c r="A791" s="37"/>
      <c r="B791" s="17"/>
      <c r="C791" s="18"/>
      <c r="D791" s="19"/>
      <c r="E791" s="19"/>
      <c r="F791" s="37"/>
      <c r="G791" s="50"/>
      <c r="H791" s="30"/>
      <c r="I791" s="30"/>
      <c r="J791" s="32"/>
      <c r="K791" s="32"/>
    </row>
    <row r="792" spans="1:11">
      <c r="A792" s="37" t="s">
        <v>72</v>
      </c>
      <c r="B792" s="29" t="s">
        <v>222</v>
      </c>
      <c r="C792" s="18"/>
      <c r="D792" s="18" t="s">
        <v>469</v>
      </c>
      <c r="E792" s="18" t="s">
        <v>473</v>
      </c>
      <c r="F792" s="18" t="s">
        <v>73</v>
      </c>
      <c r="G792" s="24" t="s">
        <v>73</v>
      </c>
      <c r="H792" s="22" t="s">
        <v>651</v>
      </c>
      <c r="I792" s="22" t="s">
        <v>651</v>
      </c>
      <c r="J792" s="32"/>
      <c r="K792" s="32"/>
    </row>
    <row r="793" spans="1:11">
      <c r="A793" s="37" t="s">
        <v>10</v>
      </c>
      <c r="B793" s="17"/>
      <c r="C793" s="18" t="str">
        <f>C64</f>
        <v>ABAKUS</v>
      </c>
      <c r="D793" s="18" t="s">
        <v>470</v>
      </c>
      <c r="E793" s="18" t="s">
        <v>10</v>
      </c>
      <c r="F793" s="18" t="s">
        <v>11</v>
      </c>
      <c r="G793" s="24" t="s">
        <v>498</v>
      </c>
      <c r="H793" s="22" t="s">
        <v>500</v>
      </c>
      <c r="I793" s="22" t="s">
        <v>498</v>
      </c>
      <c r="J793" s="32"/>
      <c r="K793" s="32"/>
    </row>
    <row r="794" spans="1:11">
      <c r="A794" s="37" t="s">
        <v>13</v>
      </c>
      <c r="B794" s="18" t="s">
        <v>223</v>
      </c>
      <c r="C794" s="18"/>
      <c r="D794" s="18" t="s">
        <v>14</v>
      </c>
      <c r="E794" s="18" t="s">
        <v>14</v>
      </c>
      <c r="F794" s="18" t="s">
        <v>14</v>
      </c>
      <c r="G794" s="24" t="s">
        <v>15</v>
      </c>
      <c r="H794" s="22" t="s">
        <v>272</v>
      </c>
      <c r="I794" s="22" t="s">
        <v>285</v>
      </c>
      <c r="J794" s="32"/>
      <c r="K794" s="32"/>
    </row>
    <row r="795" spans="1:11">
      <c r="A795" s="37"/>
      <c r="B795" s="17"/>
      <c r="C795" s="18"/>
      <c r="D795" s="19"/>
      <c r="E795" s="19"/>
      <c r="F795" s="30"/>
      <c r="G795" s="31"/>
      <c r="H795" s="30"/>
      <c r="I795" s="30"/>
      <c r="J795" s="32"/>
      <c r="K795" s="32"/>
    </row>
    <row r="796" spans="1:11">
      <c r="A796" s="38"/>
      <c r="B796" s="29" t="s">
        <v>16</v>
      </c>
      <c r="C796" s="29"/>
      <c r="D796" s="40"/>
      <c r="E796" s="40"/>
      <c r="F796" s="30"/>
      <c r="G796" s="31"/>
      <c r="H796" s="30"/>
      <c r="I796" s="30"/>
      <c r="J796" s="32"/>
      <c r="K796" s="32"/>
    </row>
    <row r="797" spans="1:11">
      <c r="A797" s="38"/>
      <c r="B797" s="29"/>
      <c r="C797" s="29"/>
      <c r="D797" s="40"/>
      <c r="E797" s="40"/>
      <c r="F797" s="30"/>
      <c r="G797" s="31"/>
      <c r="H797" s="30"/>
      <c r="I797" s="30"/>
      <c r="J797" s="32"/>
      <c r="K797" s="32"/>
    </row>
    <row r="798" spans="1:11">
      <c r="A798" s="16">
        <v>2229.04</v>
      </c>
      <c r="B798" s="17" t="s">
        <v>224</v>
      </c>
      <c r="C798" s="18">
        <v>5420</v>
      </c>
      <c r="D798" s="19">
        <v>542.5</v>
      </c>
      <c r="E798" s="19">
        <f>+F798</f>
        <v>2937.34</v>
      </c>
      <c r="F798" s="20">
        <f>1468.67*2</f>
        <v>2937.34</v>
      </c>
      <c r="G798" s="21">
        <f>E798*10/100+E798</f>
        <v>3231.0740000000001</v>
      </c>
      <c r="H798" s="20">
        <f>+G798*0.1+G798</f>
        <v>3554.1813999999999</v>
      </c>
      <c r="I798" s="20">
        <f>+H798*0.1+H798</f>
        <v>3909.5995400000002</v>
      </c>
      <c r="J798" s="32"/>
      <c r="K798" s="32"/>
    </row>
    <row r="799" spans="1:11">
      <c r="A799" s="45">
        <f>SUM(A798:A798)</f>
        <v>2229.04</v>
      </c>
      <c r="B799" s="17"/>
      <c r="C799" s="18"/>
      <c r="D799" s="49">
        <f>SUM(D798:D798)</f>
        <v>542.5</v>
      </c>
      <c r="E799" s="45">
        <f>SUM(E798:E798)</f>
        <v>2937.34</v>
      </c>
      <c r="F799" s="45">
        <f>SUM(F798:F798)</f>
        <v>2937.34</v>
      </c>
      <c r="G799" s="31">
        <f t="shared" ref="G799:I799" si="412">SUM(G798:G798)</f>
        <v>3231.0740000000001</v>
      </c>
      <c r="H799" s="45">
        <f t="shared" si="412"/>
        <v>3554.1813999999999</v>
      </c>
      <c r="I799" s="45">
        <f t="shared" si="412"/>
        <v>3909.5995400000002</v>
      </c>
      <c r="J799" s="32"/>
      <c r="K799" s="32"/>
    </row>
    <row r="800" spans="1:11">
      <c r="A800" s="37"/>
      <c r="B800" s="17"/>
      <c r="C800" s="18"/>
      <c r="D800" s="19"/>
      <c r="E800" s="19"/>
      <c r="F800" s="45"/>
      <c r="G800" s="31"/>
      <c r="H800" s="45"/>
      <c r="I800" s="45"/>
      <c r="J800" s="32"/>
      <c r="K800" s="32"/>
    </row>
    <row r="801" spans="1:11">
      <c r="A801" s="37"/>
      <c r="B801" s="29" t="s">
        <v>22</v>
      </c>
      <c r="C801" s="18"/>
      <c r="D801" s="19"/>
      <c r="E801" s="19"/>
      <c r="F801" s="30"/>
      <c r="G801" s="31"/>
      <c r="H801" s="30"/>
      <c r="I801" s="30"/>
      <c r="J801" s="32"/>
      <c r="K801" s="32"/>
    </row>
    <row r="802" spans="1:11">
      <c r="A802" s="37"/>
      <c r="B802" s="17"/>
      <c r="C802" s="18"/>
      <c r="D802" s="19"/>
      <c r="E802" s="19"/>
      <c r="F802" s="30"/>
      <c r="G802" s="31"/>
      <c r="H802" s="30"/>
      <c r="I802" s="30"/>
      <c r="J802" s="32"/>
      <c r="K802" s="32"/>
    </row>
    <row r="803" spans="1:11">
      <c r="A803" s="38"/>
      <c r="B803" s="39" t="s">
        <v>69</v>
      </c>
      <c r="C803" s="29"/>
      <c r="D803" s="40"/>
      <c r="E803" s="40"/>
      <c r="F803" s="30"/>
      <c r="G803" s="31"/>
      <c r="H803" s="30"/>
      <c r="I803" s="30"/>
      <c r="J803" s="32"/>
      <c r="K803" s="32"/>
    </row>
    <row r="804" spans="1:11">
      <c r="A804" s="16">
        <f>+F805</f>
        <v>30000</v>
      </c>
      <c r="B804" s="17" t="s">
        <v>225</v>
      </c>
      <c r="C804" s="18">
        <v>7315</v>
      </c>
      <c r="D804" s="19">
        <v>0</v>
      </c>
      <c r="E804" s="19">
        <f>+F804</f>
        <v>30000</v>
      </c>
      <c r="F804" s="34">
        <v>30000</v>
      </c>
      <c r="G804" s="21">
        <v>30000</v>
      </c>
      <c r="H804" s="34">
        <f>G804*6.3%+30000</f>
        <v>31890</v>
      </c>
      <c r="I804" s="34">
        <f>H804*6.3%+30000</f>
        <v>32009.07</v>
      </c>
      <c r="J804" s="32"/>
      <c r="K804" s="32"/>
    </row>
    <row r="805" spans="1:11">
      <c r="A805" s="45">
        <f>SUM(A804:A804)</f>
        <v>30000</v>
      </c>
      <c r="B805" s="39"/>
      <c r="C805" s="29"/>
      <c r="D805" s="19">
        <v>0</v>
      </c>
      <c r="E805" s="45">
        <f>SUM(E804:E804)</f>
        <v>30000</v>
      </c>
      <c r="F805" s="45">
        <f>SUM(F804:F804)</f>
        <v>30000</v>
      </c>
      <c r="G805" s="31">
        <f>SUM(G804:G804)</f>
        <v>30000</v>
      </c>
      <c r="H805" s="45">
        <f>SUM(H804:H804)</f>
        <v>31890</v>
      </c>
      <c r="I805" s="45">
        <f>SUM(I804:I804)</f>
        <v>32009.07</v>
      </c>
      <c r="J805" s="32"/>
      <c r="K805" s="32"/>
    </row>
    <row r="806" spans="1:11">
      <c r="A806" s="38"/>
      <c r="B806" s="39"/>
      <c r="C806" s="29"/>
      <c r="D806" s="19"/>
      <c r="E806" s="40"/>
      <c r="F806" s="45"/>
      <c r="G806" s="31"/>
      <c r="H806" s="45"/>
      <c r="I806" s="45"/>
      <c r="J806" s="32"/>
      <c r="K806" s="32"/>
    </row>
    <row r="807" spans="1:11">
      <c r="A807" s="45">
        <f>+A805</f>
        <v>30000</v>
      </c>
      <c r="B807" s="39" t="s">
        <v>46</v>
      </c>
      <c r="C807" s="29"/>
      <c r="D807" s="45">
        <f t="shared" ref="D807:E807" si="413">+D805</f>
        <v>0</v>
      </c>
      <c r="E807" s="45">
        <f t="shared" si="413"/>
        <v>30000</v>
      </c>
      <c r="F807" s="45">
        <f>+F805</f>
        <v>30000</v>
      </c>
      <c r="G807" s="31">
        <f t="shared" ref="G807:I807" si="414">+G805</f>
        <v>30000</v>
      </c>
      <c r="H807" s="45">
        <f t="shared" si="414"/>
        <v>31890</v>
      </c>
      <c r="I807" s="45">
        <f t="shared" si="414"/>
        <v>32009.07</v>
      </c>
      <c r="J807" s="32"/>
      <c r="K807" s="32"/>
    </row>
    <row r="808" spans="1:11">
      <c r="A808" s="45">
        <f>+A799-A807</f>
        <v>-27770.959999999999</v>
      </c>
      <c r="B808" s="39" t="s">
        <v>48</v>
      </c>
      <c r="C808" s="18"/>
      <c r="D808" s="45">
        <f t="shared" ref="D808:E808" si="415">+D799-D807</f>
        <v>542.5</v>
      </c>
      <c r="E808" s="45">
        <f t="shared" si="415"/>
        <v>-27062.66</v>
      </c>
      <c r="F808" s="45">
        <f>+F799-F807</f>
        <v>-27062.66</v>
      </c>
      <c r="G808" s="31">
        <f t="shared" ref="G808:I808" si="416">+G799-G807</f>
        <v>-26768.925999999999</v>
      </c>
      <c r="H808" s="45">
        <f t="shared" si="416"/>
        <v>-28335.818599999999</v>
      </c>
      <c r="I808" s="45">
        <f t="shared" si="416"/>
        <v>-28099.47046</v>
      </c>
      <c r="J808" s="32"/>
      <c r="K808" s="32"/>
    </row>
    <row r="809" spans="1:11">
      <c r="A809" s="37"/>
      <c r="B809" s="17"/>
      <c r="C809" s="18"/>
      <c r="D809" s="19"/>
      <c r="E809" s="19"/>
      <c r="F809" s="30"/>
      <c r="G809" s="31"/>
      <c r="H809" s="30"/>
      <c r="I809" s="30"/>
      <c r="J809" s="32"/>
      <c r="K809" s="32"/>
    </row>
    <row r="810" spans="1:11">
      <c r="A810" s="37"/>
      <c r="B810" s="17"/>
      <c r="C810" s="18"/>
      <c r="D810" s="19"/>
      <c r="E810" s="19"/>
      <c r="F810" s="30"/>
      <c r="G810" s="31"/>
      <c r="H810" s="30"/>
      <c r="I810" s="30"/>
      <c r="J810" s="32"/>
      <c r="K810" s="32"/>
    </row>
    <row r="811" spans="1:11">
      <c r="A811" s="37" t="s">
        <v>72</v>
      </c>
      <c r="B811" s="17"/>
      <c r="C811" s="18"/>
      <c r="D811" s="18" t="s">
        <v>469</v>
      </c>
      <c r="E811" s="18" t="s">
        <v>473</v>
      </c>
      <c r="F811" s="18" t="s">
        <v>73</v>
      </c>
      <c r="G811" s="24" t="s">
        <v>73</v>
      </c>
      <c r="H811" s="22" t="s">
        <v>497</v>
      </c>
      <c r="I811" s="22" t="s">
        <v>497</v>
      </c>
      <c r="J811" s="32"/>
      <c r="K811" s="32"/>
    </row>
    <row r="812" spans="1:11">
      <c r="A812" s="37" t="s">
        <v>10</v>
      </c>
      <c r="B812" s="29" t="s">
        <v>226</v>
      </c>
      <c r="C812" s="18" t="str">
        <f>C2</f>
        <v>ABAKUS</v>
      </c>
      <c r="D812" s="18" t="s">
        <v>470</v>
      </c>
      <c r="E812" s="18" t="s">
        <v>10</v>
      </c>
      <c r="F812" s="18" t="s">
        <v>11</v>
      </c>
      <c r="G812" s="24" t="s">
        <v>498</v>
      </c>
      <c r="H812" s="22" t="s">
        <v>500</v>
      </c>
      <c r="I812" s="22" t="s">
        <v>498</v>
      </c>
      <c r="J812" s="32"/>
      <c r="K812" s="32"/>
    </row>
    <row r="813" spans="1:11">
      <c r="A813" s="37" t="s">
        <v>13</v>
      </c>
      <c r="B813" s="17"/>
      <c r="C813" s="18" t="str">
        <f>C3</f>
        <v>VOTES</v>
      </c>
      <c r="D813" s="18" t="s">
        <v>14</v>
      </c>
      <c r="E813" s="18" t="s">
        <v>14</v>
      </c>
      <c r="F813" s="18" t="s">
        <v>14</v>
      </c>
      <c r="G813" s="24" t="s">
        <v>15</v>
      </c>
      <c r="H813" s="22" t="s">
        <v>272</v>
      </c>
      <c r="I813" s="22" t="s">
        <v>285</v>
      </c>
      <c r="J813" s="32"/>
      <c r="K813" s="32"/>
    </row>
    <row r="814" spans="1:11">
      <c r="A814" s="37"/>
      <c r="B814" s="18" t="s">
        <v>227</v>
      </c>
      <c r="C814" s="18"/>
      <c r="D814" s="19"/>
      <c r="E814" s="19"/>
      <c r="F814" s="30"/>
      <c r="G814" s="31"/>
      <c r="H814" s="30"/>
      <c r="I814" s="30"/>
      <c r="J814" s="32"/>
      <c r="K814" s="32"/>
    </row>
    <row r="815" spans="1:11">
      <c r="A815" s="37"/>
      <c r="B815" s="18"/>
      <c r="C815" s="18"/>
      <c r="D815" s="19"/>
      <c r="E815" s="19"/>
      <c r="F815" s="30"/>
      <c r="G815" s="31"/>
      <c r="H815" s="30"/>
      <c r="I815" s="30"/>
      <c r="J815" s="32"/>
      <c r="K815" s="32"/>
    </row>
    <row r="816" spans="1:11">
      <c r="A816" s="37"/>
      <c r="B816" s="29" t="s">
        <v>16</v>
      </c>
      <c r="C816" s="18"/>
      <c r="D816" s="19"/>
      <c r="E816" s="19"/>
      <c r="F816" s="30"/>
      <c r="G816" s="31"/>
      <c r="H816" s="30"/>
      <c r="I816" s="30"/>
      <c r="J816" s="32"/>
      <c r="K816" s="32"/>
    </row>
    <row r="817" spans="1:11">
      <c r="A817" s="37"/>
      <c r="B817" s="18"/>
      <c r="C817" s="18"/>
      <c r="D817" s="19"/>
      <c r="E817" s="19"/>
      <c r="F817" s="30"/>
      <c r="G817" s="31"/>
      <c r="H817" s="30"/>
      <c r="I817" s="30"/>
      <c r="J817" s="32"/>
      <c r="K817" s="32"/>
    </row>
    <row r="818" spans="1:11">
      <c r="A818" s="16">
        <v>44899.06</v>
      </c>
      <c r="B818" s="35" t="s">
        <v>228</v>
      </c>
      <c r="C818" s="18">
        <v>5290</v>
      </c>
      <c r="D818" s="19">
        <v>37666.25</v>
      </c>
      <c r="E818" s="19">
        <f>+D818*2</f>
        <v>75332.5</v>
      </c>
      <c r="F818" s="34">
        <f>+A818*0.1+A818</f>
        <v>49388.966</v>
      </c>
      <c r="G818" s="21">
        <v>0</v>
      </c>
      <c r="H818" s="34">
        <f t="shared" ref="G818:I819" si="417">+G818*6.3/100+G818</f>
        <v>0</v>
      </c>
      <c r="I818" s="34">
        <f t="shared" si="417"/>
        <v>0</v>
      </c>
      <c r="J818" s="32"/>
      <c r="K818" s="32"/>
    </row>
    <row r="819" spans="1:11">
      <c r="A819" s="16">
        <v>1700000</v>
      </c>
      <c r="B819" s="35" t="s">
        <v>229</v>
      </c>
      <c r="C819" s="18">
        <v>5300</v>
      </c>
      <c r="D819" s="19">
        <v>1000000</v>
      </c>
      <c r="E819" s="19">
        <v>1000000</v>
      </c>
      <c r="F819" s="34">
        <f>+A819*0.1+A819</f>
        <v>1870000</v>
      </c>
      <c r="G819" s="21">
        <f t="shared" si="417"/>
        <v>1987810</v>
      </c>
      <c r="H819" s="34">
        <f t="shared" si="417"/>
        <v>2113042.0299999998</v>
      </c>
      <c r="I819" s="34">
        <f t="shared" si="417"/>
        <v>2246163.6778899999</v>
      </c>
      <c r="J819" s="32"/>
      <c r="K819" s="32"/>
    </row>
    <row r="820" spans="1:11">
      <c r="A820" s="45">
        <f>SUM(A818:A819)</f>
        <v>1744899.06</v>
      </c>
      <c r="B820" s="18"/>
      <c r="C820" s="18"/>
      <c r="D820" s="49">
        <f>SUM(D818:D819)</f>
        <v>1037666.25</v>
      </c>
      <c r="E820" s="45">
        <f>SUM(E818:E819)</f>
        <v>1075332.5</v>
      </c>
      <c r="F820" s="45">
        <f>SUM(F818:F819)</f>
        <v>1919388.966</v>
      </c>
      <c r="G820" s="31">
        <f t="shared" ref="G820:I820" si="418">SUM(G818:G819)</f>
        <v>1987810</v>
      </c>
      <c r="H820" s="45">
        <f t="shared" si="418"/>
        <v>2113042.0299999998</v>
      </c>
      <c r="I820" s="45">
        <f t="shared" si="418"/>
        <v>2246163.6778899999</v>
      </c>
      <c r="J820" s="32"/>
      <c r="K820" s="32"/>
    </row>
    <row r="821" spans="1:11">
      <c r="A821" s="37"/>
      <c r="B821" s="17"/>
      <c r="C821" s="18"/>
      <c r="D821" s="19"/>
      <c r="E821" s="19"/>
      <c r="F821" s="30"/>
      <c r="G821" s="31"/>
      <c r="H821" s="30"/>
      <c r="I821" s="30"/>
      <c r="J821" s="32"/>
      <c r="K821" s="32"/>
    </row>
    <row r="822" spans="1:11">
      <c r="A822" s="37"/>
      <c r="B822" s="29" t="s">
        <v>22</v>
      </c>
      <c r="C822" s="18"/>
      <c r="D822" s="19"/>
      <c r="E822" s="19"/>
      <c r="F822" s="30"/>
      <c r="G822" s="31"/>
      <c r="H822" s="30"/>
      <c r="I822" s="30"/>
      <c r="J822" s="32"/>
      <c r="K822" s="32"/>
    </row>
    <row r="823" spans="1:11">
      <c r="A823" s="37"/>
      <c r="B823" s="29" t="s">
        <v>30</v>
      </c>
      <c r="C823" s="18"/>
      <c r="D823" s="19"/>
      <c r="E823" s="19"/>
      <c r="F823" s="30"/>
      <c r="G823" s="31"/>
      <c r="H823" s="30"/>
      <c r="I823" s="30"/>
      <c r="J823" s="32"/>
      <c r="K823" s="32"/>
    </row>
    <row r="824" spans="1:11">
      <c r="A824" s="37"/>
      <c r="B824" s="62" t="s">
        <v>90</v>
      </c>
      <c r="C824" s="18">
        <v>6540</v>
      </c>
      <c r="D824" s="19">
        <v>1166.28</v>
      </c>
      <c r="E824" s="19">
        <f>+D824</f>
        <v>1166.28</v>
      </c>
      <c r="F824" s="30">
        <v>0</v>
      </c>
      <c r="G824" s="31">
        <f>+E824*6.3/100+E824</f>
        <v>1239.7556399999999</v>
      </c>
      <c r="H824" s="30">
        <f>+G824*6.3/100+G824</f>
        <v>1317.8602453199999</v>
      </c>
      <c r="I824" s="30">
        <f>+H824*6.3/100+H824</f>
        <v>1400.8854407751599</v>
      </c>
      <c r="J824" s="32"/>
      <c r="K824" s="32"/>
    </row>
    <row r="825" spans="1:11">
      <c r="A825" s="37"/>
      <c r="B825" s="17"/>
      <c r="C825" s="18"/>
      <c r="D825" s="19"/>
      <c r="E825" s="19"/>
      <c r="F825" s="30"/>
      <c r="G825" s="31"/>
      <c r="H825" s="30"/>
      <c r="I825" s="30"/>
      <c r="J825" s="32"/>
      <c r="K825" s="32"/>
    </row>
    <row r="826" spans="1:11">
      <c r="A826" s="38"/>
      <c r="B826" s="39" t="s">
        <v>230</v>
      </c>
      <c r="C826" s="29"/>
      <c r="D826" s="40"/>
      <c r="E826" s="40"/>
      <c r="F826" s="30"/>
      <c r="G826" s="31"/>
      <c r="H826" s="30"/>
      <c r="I826" s="30"/>
      <c r="J826" s="32"/>
      <c r="K826" s="32"/>
    </row>
    <row r="827" spans="1:11">
      <c r="A827" s="16">
        <v>6000</v>
      </c>
      <c r="B827" s="17" t="s">
        <v>68</v>
      </c>
      <c r="C827" s="18">
        <v>7800</v>
      </c>
      <c r="D827" s="19">
        <v>1740.84</v>
      </c>
      <c r="E827" s="19">
        <f>+F827</f>
        <v>5223</v>
      </c>
      <c r="F827" s="34">
        <v>5223</v>
      </c>
      <c r="G827" s="21">
        <f>+F827*0.1+F827</f>
        <v>5745.3</v>
      </c>
      <c r="H827" s="34">
        <f>+G827*0.1+G827</f>
        <v>6319.83</v>
      </c>
      <c r="I827" s="34">
        <f>+H827*0.1+H827</f>
        <v>6951.8130000000001</v>
      </c>
      <c r="J827" s="32"/>
      <c r="K827" s="32"/>
    </row>
    <row r="828" spans="1:11">
      <c r="A828" s="45">
        <f>+A827</f>
        <v>6000</v>
      </c>
      <c r="B828" s="17"/>
      <c r="C828" s="18"/>
      <c r="D828" s="45">
        <f t="shared" ref="D828:E828" si="419">+D827</f>
        <v>1740.84</v>
      </c>
      <c r="E828" s="45">
        <f t="shared" si="419"/>
        <v>5223</v>
      </c>
      <c r="F828" s="45">
        <f>+F827</f>
        <v>5223</v>
      </c>
      <c r="G828" s="31">
        <f>+G827</f>
        <v>5745.3</v>
      </c>
      <c r="H828" s="45">
        <f t="shared" ref="H828:I828" si="420">+H827</f>
        <v>6319.83</v>
      </c>
      <c r="I828" s="45">
        <f t="shared" si="420"/>
        <v>6951.8130000000001</v>
      </c>
      <c r="J828" s="32"/>
      <c r="K828" s="32"/>
    </row>
    <row r="829" spans="1:11">
      <c r="A829" s="37"/>
      <c r="B829" s="17"/>
      <c r="C829" s="18"/>
      <c r="D829" s="19"/>
      <c r="E829" s="19"/>
      <c r="F829" s="45"/>
      <c r="G829" s="31"/>
      <c r="H829" s="45"/>
      <c r="I829" s="45"/>
      <c r="J829" s="32"/>
      <c r="K829" s="32"/>
    </row>
    <row r="830" spans="1:11">
      <c r="A830" s="45">
        <f>+A828</f>
        <v>6000</v>
      </c>
      <c r="B830" s="39" t="s">
        <v>46</v>
      </c>
      <c r="C830" s="18"/>
      <c r="D830" s="45">
        <f t="shared" ref="D830:F830" si="421">D828+D824</f>
        <v>2907.12</v>
      </c>
      <c r="E830" s="45">
        <f t="shared" si="421"/>
        <v>6389.28</v>
      </c>
      <c r="F830" s="45">
        <f t="shared" si="421"/>
        <v>5223</v>
      </c>
      <c r="G830" s="31">
        <f t="shared" ref="G830:I830" si="422">G828+G824</f>
        <v>6985.0556400000005</v>
      </c>
      <c r="H830" s="45">
        <f t="shared" si="422"/>
        <v>7637.69024532</v>
      </c>
      <c r="I830" s="45">
        <f t="shared" si="422"/>
        <v>8352.6984407751606</v>
      </c>
      <c r="J830" s="32"/>
      <c r="K830" s="32"/>
    </row>
    <row r="831" spans="1:11">
      <c r="A831" s="45">
        <f>+A820-A830</f>
        <v>1738899.06</v>
      </c>
      <c r="B831" s="44" t="str">
        <f>B60</f>
        <v>NETT AMOUNT</v>
      </c>
      <c r="C831" s="18"/>
      <c r="D831" s="45">
        <f t="shared" ref="D831:E831" si="423">+D820-D830</f>
        <v>1034759.13</v>
      </c>
      <c r="E831" s="45">
        <f t="shared" si="423"/>
        <v>1068943.22</v>
      </c>
      <c r="F831" s="45">
        <f>+F820-F830</f>
        <v>1914165.966</v>
      </c>
      <c r="G831" s="31">
        <f t="shared" ref="G831:I831" si="424">+G820-G830</f>
        <v>1980824.9443600001</v>
      </c>
      <c r="H831" s="45">
        <f t="shared" si="424"/>
        <v>2105404.3397546797</v>
      </c>
      <c r="I831" s="45">
        <f t="shared" si="424"/>
        <v>2237810.9794492247</v>
      </c>
      <c r="J831" s="32"/>
      <c r="K831" s="32"/>
    </row>
    <row r="832" spans="1:11">
      <c r="A832" s="34"/>
      <c r="B832" s="17"/>
      <c r="C832" s="17"/>
      <c r="D832" s="19"/>
      <c r="E832" s="19"/>
      <c r="F832" s="30"/>
      <c r="G832" s="31"/>
      <c r="H832" s="30"/>
      <c r="I832" s="30"/>
      <c r="J832" s="32"/>
      <c r="K832" s="32"/>
    </row>
    <row r="833" spans="1:11">
      <c r="A833" s="34"/>
      <c r="B833" s="17"/>
      <c r="C833" s="17"/>
      <c r="D833" s="19"/>
      <c r="E833" s="19"/>
      <c r="F833" s="30"/>
      <c r="G833" s="31"/>
      <c r="H833" s="30"/>
      <c r="I833" s="30"/>
      <c r="J833" s="32"/>
      <c r="K833" s="32"/>
    </row>
    <row r="834" spans="1:11">
      <c r="A834" s="37" t="s">
        <v>72</v>
      </c>
      <c r="B834" s="17"/>
      <c r="C834" s="18"/>
      <c r="D834" s="18" t="s">
        <v>469</v>
      </c>
      <c r="E834" s="18" t="s">
        <v>473</v>
      </c>
      <c r="F834" s="18" t="s">
        <v>73</v>
      </c>
      <c r="G834" s="24" t="s">
        <v>73</v>
      </c>
      <c r="H834" s="22" t="s">
        <v>651</v>
      </c>
      <c r="I834" s="22" t="s">
        <v>651</v>
      </c>
      <c r="J834" s="32"/>
      <c r="K834" s="32"/>
    </row>
    <row r="835" spans="1:11">
      <c r="A835" s="37" t="s">
        <v>10</v>
      </c>
      <c r="B835" s="29" t="s">
        <v>231</v>
      </c>
      <c r="C835" s="18" t="str">
        <f>C2</f>
        <v>ABAKUS</v>
      </c>
      <c r="D835" s="18" t="s">
        <v>470</v>
      </c>
      <c r="E835" s="18" t="s">
        <v>10</v>
      </c>
      <c r="F835" s="18" t="s">
        <v>11</v>
      </c>
      <c r="G835" s="24" t="s">
        <v>498</v>
      </c>
      <c r="H835" s="22" t="s">
        <v>500</v>
      </c>
      <c r="I835" s="22" t="s">
        <v>498</v>
      </c>
      <c r="J835" s="32"/>
      <c r="K835" s="32"/>
    </row>
    <row r="836" spans="1:11">
      <c r="A836" s="37" t="s">
        <v>13</v>
      </c>
      <c r="B836" s="17"/>
      <c r="C836" s="18" t="str">
        <f>C3</f>
        <v>VOTES</v>
      </c>
      <c r="D836" s="18" t="s">
        <v>14</v>
      </c>
      <c r="E836" s="18" t="s">
        <v>14</v>
      </c>
      <c r="F836" s="18" t="s">
        <v>14</v>
      </c>
      <c r="G836" s="24" t="s">
        <v>15</v>
      </c>
      <c r="H836" s="22" t="s">
        <v>272</v>
      </c>
      <c r="I836" s="22" t="s">
        <v>285</v>
      </c>
      <c r="J836" s="32"/>
      <c r="K836" s="32"/>
    </row>
    <row r="837" spans="1:11">
      <c r="A837" s="37"/>
      <c r="B837" s="18" t="s">
        <v>495</v>
      </c>
      <c r="C837" s="18"/>
      <c r="D837" s="19"/>
      <c r="E837" s="19"/>
      <c r="F837" s="30"/>
      <c r="G837" s="31"/>
      <c r="H837" s="30"/>
      <c r="I837" s="30"/>
      <c r="J837" s="32"/>
      <c r="K837" s="32"/>
    </row>
    <row r="838" spans="1:11">
      <c r="A838" s="37"/>
      <c r="B838" s="17"/>
      <c r="C838" s="18"/>
      <c r="D838" s="19"/>
      <c r="E838" s="19"/>
      <c r="F838" s="30"/>
      <c r="G838" s="31"/>
      <c r="H838" s="30"/>
      <c r="I838" s="30"/>
      <c r="J838" s="32"/>
      <c r="K838" s="32"/>
    </row>
    <row r="839" spans="1:11">
      <c r="A839" s="38"/>
      <c r="B839" s="29" t="s">
        <v>16</v>
      </c>
      <c r="C839" s="29"/>
      <c r="D839" s="40"/>
      <c r="E839" s="40"/>
      <c r="F839" s="30"/>
      <c r="G839" s="31"/>
      <c r="H839" s="30"/>
      <c r="I839" s="30"/>
      <c r="J839" s="32"/>
      <c r="K839" s="32"/>
    </row>
    <row r="840" spans="1:11">
      <c r="A840" s="37"/>
      <c r="B840" s="17"/>
      <c r="C840" s="18"/>
      <c r="D840" s="19"/>
      <c r="E840" s="19"/>
      <c r="F840" s="30"/>
      <c r="G840" s="31"/>
      <c r="H840" s="30"/>
      <c r="I840" s="30"/>
      <c r="J840" s="32"/>
      <c r="K840" s="32"/>
    </row>
    <row r="841" spans="1:11">
      <c r="A841" s="37"/>
      <c r="B841" s="17"/>
      <c r="C841" s="18"/>
      <c r="D841" s="19"/>
      <c r="E841" s="19"/>
      <c r="F841" s="30"/>
      <c r="G841" s="31"/>
      <c r="H841" s="30"/>
      <c r="I841" s="30"/>
      <c r="J841" s="32"/>
      <c r="K841" s="32"/>
    </row>
    <row r="842" spans="1:11">
      <c r="A842" s="30"/>
      <c r="B842" s="17"/>
      <c r="C842" s="18"/>
      <c r="D842" s="19"/>
      <c r="E842" s="19"/>
      <c r="F842" s="30"/>
      <c r="G842" s="31"/>
      <c r="H842" s="30"/>
      <c r="I842" s="30"/>
      <c r="J842" s="32"/>
      <c r="K842" s="32"/>
    </row>
    <row r="843" spans="1:11">
      <c r="A843" s="37"/>
      <c r="B843" s="29" t="s">
        <v>22</v>
      </c>
      <c r="C843" s="18"/>
      <c r="D843" s="19"/>
      <c r="E843" s="19"/>
      <c r="F843" s="30"/>
      <c r="G843" s="31"/>
      <c r="H843" s="30"/>
      <c r="I843" s="30"/>
      <c r="J843" s="32"/>
      <c r="K843" s="32"/>
    </row>
    <row r="844" spans="1:11">
      <c r="A844" s="38"/>
      <c r="B844" s="39" t="s">
        <v>30</v>
      </c>
      <c r="C844" s="29"/>
      <c r="D844" s="40"/>
      <c r="E844" s="40"/>
      <c r="F844" s="30"/>
      <c r="G844" s="31"/>
      <c r="H844" s="30"/>
      <c r="I844" s="30"/>
      <c r="J844" s="32"/>
      <c r="K844" s="32"/>
    </row>
    <row r="845" spans="1:11">
      <c r="A845" s="16">
        <v>2200</v>
      </c>
      <c r="B845" s="17" t="s">
        <v>90</v>
      </c>
      <c r="C845" s="18">
        <v>6540</v>
      </c>
      <c r="D845" s="19">
        <v>0</v>
      </c>
      <c r="E845" s="19">
        <f>+F845</f>
        <v>2200</v>
      </c>
      <c r="F845" s="20">
        <v>2200</v>
      </c>
      <c r="G845" s="21">
        <f>+F845*6.3/100+F845</f>
        <v>2338.6</v>
      </c>
      <c r="H845" s="20">
        <f>+G845*6.3/100+G845</f>
        <v>2485.9317999999998</v>
      </c>
      <c r="I845" s="20">
        <f>+H845*6.3/100+H845</f>
        <v>2642.5455033999997</v>
      </c>
      <c r="J845" s="32"/>
      <c r="K845" s="32"/>
    </row>
    <row r="846" spans="1:11">
      <c r="A846" s="16">
        <v>0</v>
      </c>
      <c r="B846" s="17" t="s">
        <v>33</v>
      </c>
      <c r="C846" s="18">
        <v>6570</v>
      </c>
      <c r="D846" s="19"/>
      <c r="E846" s="19"/>
      <c r="F846" s="20">
        <v>0</v>
      </c>
      <c r="G846" s="21">
        <f t="shared" ref="G846:I846" si="425">+F846*6.3/100+F846</f>
        <v>0</v>
      </c>
      <c r="H846" s="20">
        <f t="shared" si="425"/>
        <v>0</v>
      </c>
      <c r="I846" s="20">
        <f t="shared" si="425"/>
        <v>0</v>
      </c>
      <c r="J846" s="32"/>
      <c r="K846" s="32"/>
    </row>
    <row r="847" spans="1:11">
      <c r="A847" s="16">
        <v>14624.55</v>
      </c>
      <c r="B847" s="17" t="s">
        <v>232</v>
      </c>
      <c r="C847" s="18">
        <v>6920</v>
      </c>
      <c r="D847" s="19">
        <v>9278.92</v>
      </c>
      <c r="E847" s="19">
        <f>+F847</f>
        <v>28000</v>
      </c>
      <c r="F847" s="20">
        <v>28000</v>
      </c>
      <c r="G847" s="21">
        <f t="shared" ref="G847:I847" si="426">+F847*6.3/100+F847</f>
        <v>29764</v>
      </c>
      <c r="H847" s="20">
        <f t="shared" si="426"/>
        <v>31639.132000000001</v>
      </c>
      <c r="I847" s="20">
        <f t="shared" si="426"/>
        <v>33632.397316000002</v>
      </c>
      <c r="J847" s="32"/>
      <c r="K847" s="32"/>
    </row>
    <row r="848" spans="1:11">
      <c r="A848" s="16">
        <v>9386.9699999999993</v>
      </c>
      <c r="B848" s="17" t="s">
        <v>155</v>
      </c>
      <c r="C848" s="18">
        <v>6930</v>
      </c>
      <c r="D848" s="19"/>
      <c r="E848" s="19">
        <f>+F848</f>
        <v>10300</v>
      </c>
      <c r="F848" s="20">
        <v>10300</v>
      </c>
      <c r="G848" s="21">
        <v>0</v>
      </c>
      <c r="H848" s="20">
        <f t="shared" ref="H848:I848" si="427">+G848*6.3/100+G848</f>
        <v>0</v>
      </c>
      <c r="I848" s="20">
        <f t="shared" si="427"/>
        <v>0</v>
      </c>
      <c r="J848" s="32"/>
      <c r="K848" s="32"/>
    </row>
    <row r="849" spans="1:11">
      <c r="A849" s="16">
        <v>11208.1</v>
      </c>
      <c r="B849" s="17" t="s">
        <v>99</v>
      </c>
      <c r="C849" s="18">
        <v>6970</v>
      </c>
      <c r="D849" s="19">
        <v>3281.11</v>
      </c>
      <c r="E849" s="19">
        <f>+F849</f>
        <v>12328.91</v>
      </c>
      <c r="F849" s="20">
        <f>+A849*0.1+A849</f>
        <v>12328.91</v>
      </c>
      <c r="G849" s="21">
        <v>12000</v>
      </c>
      <c r="H849" s="20">
        <f t="shared" ref="H849:I849" si="428">+G849*6.3/100+G849</f>
        <v>12756</v>
      </c>
      <c r="I849" s="20">
        <f t="shared" si="428"/>
        <v>13559.628000000001</v>
      </c>
      <c r="J849" s="32"/>
      <c r="K849" s="32"/>
    </row>
    <row r="850" spans="1:11">
      <c r="A850" s="16">
        <v>0</v>
      </c>
      <c r="B850" s="17" t="s">
        <v>39</v>
      </c>
      <c r="C850" s="18">
        <v>6990</v>
      </c>
      <c r="D850" s="19"/>
      <c r="E850" s="19"/>
      <c r="F850" s="20">
        <v>0</v>
      </c>
      <c r="G850" s="21">
        <f t="shared" ref="G850:I850" si="429">+F850*6.3/100+F850</f>
        <v>0</v>
      </c>
      <c r="H850" s="20">
        <f t="shared" si="429"/>
        <v>0</v>
      </c>
      <c r="I850" s="20">
        <f t="shared" si="429"/>
        <v>0</v>
      </c>
      <c r="J850" s="32"/>
      <c r="K850" s="32"/>
    </row>
    <row r="851" spans="1:11">
      <c r="A851" s="16">
        <v>0</v>
      </c>
      <c r="B851" s="17" t="s">
        <v>63</v>
      </c>
      <c r="C851" s="18">
        <v>7020</v>
      </c>
      <c r="D851" s="19"/>
      <c r="E851" s="19"/>
      <c r="F851" s="20">
        <v>0</v>
      </c>
      <c r="G851" s="21">
        <f t="shared" ref="G851:I852" si="430">+F851*6.3/100+F851</f>
        <v>0</v>
      </c>
      <c r="H851" s="20">
        <f t="shared" si="430"/>
        <v>0</v>
      </c>
      <c r="I851" s="20">
        <f t="shared" si="430"/>
        <v>0</v>
      </c>
      <c r="J851" s="32"/>
      <c r="K851" s="32"/>
    </row>
    <row r="852" spans="1:11">
      <c r="A852" s="16">
        <v>0</v>
      </c>
      <c r="B852" s="17" t="s">
        <v>65</v>
      </c>
      <c r="C852" s="18">
        <v>7081</v>
      </c>
      <c r="D852" s="19"/>
      <c r="E852" s="19"/>
      <c r="F852" s="20">
        <v>0</v>
      </c>
      <c r="G852" s="21">
        <f t="shared" si="430"/>
        <v>0</v>
      </c>
      <c r="H852" s="20">
        <f t="shared" si="430"/>
        <v>0</v>
      </c>
      <c r="I852" s="20">
        <f t="shared" si="430"/>
        <v>0</v>
      </c>
      <c r="J852" s="32"/>
      <c r="K852" s="32"/>
    </row>
    <row r="853" spans="1:11">
      <c r="A853" s="45">
        <f>SUM(A845:A852)</f>
        <v>37419.619999999995</v>
      </c>
      <c r="B853" s="17"/>
      <c r="C853" s="18"/>
      <c r="D853" s="49">
        <f t="shared" ref="D853:I853" si="431">SUM(D845:D852)</f>
        <v>12560.03</v>
      </c>
      <c r="E853" s="45">
        <f t="shared" si="431"/>
        <v>52828.91</v>
      </c>
      <c r="F853" s="45">
        <f t="shared" si="431"/>
        <v>52828.91</v>
      </c>
      <c r="G853" s="31">
        <f t="shared" si="431"/>
        <v>44102.6</v>
      </c>
      <c r="H853" s="45">
        <f t="shared" si="431"/>
        <v>46881.063800000004</v>
      </c>
      <c r="I853" s="45">
        <f t="shared" si="431"/>
        <v>49834.570819400004</v>
      </c>
      <c r="J853" s="32"/>
      <c r="K853" s="32"/>
    </row>
    <row r="854" spans="1:11">
      <c r="A854" s="38"/>
      <c r="B854" s="39" t="s">
        <v>69</v>
      </c>
      <c r="C854" s="29"/>
      <c r="D854" s="40"/>
      <c r="E854" s="40"/>
      <c r="F854" s="30"/>
      <c r="G854" s="31"/>
      <c r="H854" s="30"/>
      <c r="I854" s="30"/>
      <c r="J854" s="32"/>
      <c r="K854" s="32"/>
    </row>
    <row r="855" spans="1:11">
      <c r="A855" s="16">
        <f>+F855</f>
        <v>15800</v>
      </c>
      <c r="B855" s="17" t="s">
        <v>156</v>
      </c>
      <c r="C855" s="18">
        <v>7280</v>
      </c>
      <c r="D855" s="19">
        <v>0</v>
      </c>
      <c r="E855" s="19">
        <f>+F855/2</f>
        <v>7900</v>
      </c>
      <c r="F855" s="20">
        <v>15800</v>
      </c>
      <c r="G855" s="21">
        <v>6000</v>
      </c>
      <c r="H855" s="20">
        <v>15800</v>
      </c>
      <c r="I855" s="20">
        <v>15800</v>
      </c>
      <c r="J855" s="32"/>
      <c r="K855" s="32"/>
    </row>
    <row r="856" spans="1:11">
      <c r="A856" s="30">
        <f>SUM(A855:A855)</f>
        <v>15800</v>
      </c>
      <c r="B856" s="17"/>
      <c r="C856" s="18"/>
      <c r="D856" s="30">
        <f t="shared" ref="D856:F856" si="432">SUM(D855:D855)</f>
        <v>0</v>
      </c>
      <c r="E856" s="30">
        <f t="shared" si="432"/>
        <v>7900</v>
      </c>
      <c r="F856" s="30">
        <f t="shared" si="432"/>
        <v>15800</v>
      </c>
      <c r="G856" s="31">
        <f>SUM(G855:G855)</f>
        <v>6000</v>
      </c>
      <c r="H856" s="30">
        <f>SUM(H855:H855)</f>
        <v>15800</v>
      </c>
      <c r="I856" s="30">
        <f>SUM(I855:I855)</f>
        <v>15800</v>
      </c>
      <c r="J856" s="32"/>
      <c r="K856" s="32"/>
    </row>
    <row r="857" spans="1:11">
      <c r="A857" s="37"/>
      <c r="B857" s="39" t="s">
        <v>67</v>
      </c>
      <c r="C857" s="18"/>
      <c r="D857" s="19"/>
      <c r="E857" s="19"/>
      <c r="F857" s="30"/>
      <c r="G857" s="31"/>
      <c r="H857" s="30"/>
      <c r="I857" s="30"/>
      <c r="J857" s="32"/>
      <c r="K857" s="32"/>
    </row>
    <row r="858" spans="1:11">
      <c r="A858" s="30">
        <v>18000</v>
      </c>
      <c r="B858" s="17" t="s">
        <v>214</v>
      </c>
      <c r="C858" s="18">
        <v>7800</v>
      </c>
      <c r="D858" s="19">
        <v>25610.12</v>
      </c>
      <c r="E858" s="30">
        <v>63982</v>
      </c>
      <c r="F858" s="30">
        <v>63982</v>
      </c>
      <c r="G858" s="21">
        <f>F858*10/100+F858</f>
        <v>70380.2</v>
      </c>
      <c r="H858" s="20">
        <f>G858*10/100+G858</f>
        <v>77418.22</v>
      </c>
      <c r="I858" s="20">
        <f>H858*10/100+H858</f>
        <v>85160.042000000001</v>
      </c>
      <c r="J858" s="32"/>
      <c r="K858" s="32"/>
    </row>
    <row r="859" spans="1:11">
      <c r="A859" s="37"/>
      <c r="B859" s="17"/>
      <c r="C859" s="18"/>
      <c r="D859" s="19"/>
      <c r="E859" s="19"/>
      <c r="F859" s="30"/>
      <c r="G859" s="31"/>
      <c r="H859" s="30"/>
      <c r="I859" s="30"/>
      <c r="J859" s="32"/>
      <c r="K859" s="32"/>
    </row>
    <row r="860" spans="1:11">
      <c r="A860" s="37"/>
      <c r="B860" s="17"/>
      <c r="C860" s="18"/>
      <c r="D860" s="19"/>
      <c r="E860" s="19"/>
      <c r="F860" s="30"/>
      <c r="G860" s="31"/>
      <c r="H860" s="30"/>
      <c r="I860" s="30"/>
      <c r="J860" s="32"/>
      <c r="K860" s="32"/>
    </row>
    <row r="861" spans="1:11">
      <c r="A861" s="45">
        <f>+A858+A856+A853</f>
        <v>71219.62</v>
      </c>
      <c r="B861" s="39" t="s">
        <v>46</v>
      </c>
      <c r="C861" s="18"/>
      <c r="D861" s="45">
        <f t="shared" ref="D861:E861" si="433">+D858+D856+D853</f>
        <v>38170.15</v>
      </c>
      <c r="E861" s="45">
        <f t="shared" si="433"/>
        <v>124710.91</v>
      </c>
      <c r="F861" s="45">
        <f>+F858+F856+F853</f>
        <v>132610.91</v>
      </c>
      <c r="G861" s="31">
        <f t="shared" ref="G861:I861" si="434">+G858+G856+G853</f>
        <v>120482.79999999999</v>
      </c>
      <c r="H861" s="45">
        <f t="shared" si="434"/>
        <v>140099.2838</v>
      </c>
      <c r="I861" s="45">
        <f t="shared" si="434"/>
        <v>150794.6128194</v>
      </c>
      <c r="J861" s="32"/>
      <c r="K861" s="32"/>
    </row>
    <row r="862" spans="1:11">
      <c r="A862" s="45">
        <f>+A842-A861</f>
        <v>-71219.62</v>
      </c>
      <c r="B862" s="44" t="str">
        <f>B60</f>
        <v>NETT AMOUNT</v>
      </c>
      <c r="C862" s="18"/>
      <c r="D862" s="45">
        <f t="shared" ref="D862:E862" si="435">+D842-D861</f>
        <v>-38170.15</v>
      </c>
      <c r="E862" s="45">
        <f t="shared" si="435"/>
        <v>-124710.91</v>
      </c>
      <c r="F862" s="45">
        <f>+F842-F861</f>
        <v>-132610.91</v>
      </c>
      <c r="G862" s="31">
        <f t="shared" ref="G862:I862" si="436">+G842-G861</f>
        <v>-120482.79999999999</v>
      </c>
      <c r="H862" s="45">
        <f t="shared" si="436"/>
        <v>-140099.2838</v>
      </c>
      <c r="I862" s="45">
        <f t="shared" si="436"/>
        <v>-150794.6128194</v>
      </c>
      <c r="J862" s="32"/>
      <c r="K862" s="32"/>
    </row>
    <row r="863" spans="1:11">
      <c r="A863" s="34"/>
      <c r="B863" s="17"/>
      <c r="C863" s="17"/>
      <c r="D863" s="19"/>
      <c r="E863" s="19"/>
      <c r="F863" s="30"/>
      <c r="G863" s="31"/>
      <c r="H863" s="30"/>
      <c r="I863" s="30"/>
      <c r="J863" s="32"/>
      <c r="K863" s="32"/>
    </row>
    <row r="864" spans="1:11">
      <c r="A864" s="34"/>
      <c r="B864" s="17"/>
      <c r="C864" s="17"/>
      <c r="D864" s="19"/>
      <c r="E864" s="19"/>
      <c r="F864" s="30"/>
      <c r="G864" s="31"/>
      <c r="H864" s="30"/>
      <c r="I864" s="30"/>
      <c r="J864" s="32"/>
      <c r="K864" s="32"/>
    </row>
    <row r="865" spans="1:11">
      <c r="A865" s="37" t="s">
        <v>72</v>
      </c>
      <c r="B865" s="17"/>
      <c r="C865" s="18"/>
      <c r="D865" s="19"/>
      <c r="E865" s="19"/>
      <c r="F865" s="37"/>
      <c r="G865" s="50"/>
      <c r="H865" s="37"/>
      <c r="I865" s="37"/>
      <c r="J865" s="32"/>
      <c r="K865" s="32"/>
    </row>
    <row r="866" spans="1:11">
      <c r="A866" s="37" t="s">
        <v>10</v>
      </c>
      <c r="B866" s="29" t="s">
        <v>233</v>
      </c>
      <c r="C866" s="18" t="str">
        <f>C2</f>
        <v>ABAKUS</v>
      </c>
      <c r="D866" s="18" t="s">
        <v>469</v>
      </c>
      <c r="E866" s="18" t="s">
        <v>473</v>
      </c>
      <c r="F866" s="18" t="s">
        <v>73</v>
      </c>
      <c r="G866" s="24" t="s">
        <v>73</v>
      </c>
      <c r="H866" s="22" t="s">
        <v>651</v>
      </c>
      <c r="I866" s="22" t="s">
        <v>651</v>
      </c>
      <c r="J866" s="32"/>
      <c r="K866" s="32"/>
    </row>
    <row r="867" spans="1:11">
      <c r="A867" s="37" t="s">
        <v>13</v>
      </c>
      <c r="B867" s="17"/>
      <c r="C867" s="18" t="str">
        <f>C3</f>
        <v>VOTES</v>
      </c>
      <c r="D867" s="18" t="s">
        <v>470</v>
      </c>
      <c r="E867" s="18" t="s">
        <v>10</v>
      </c>
      <c r="F867" s="18" t="s">
        <v>11</v>
      </c>
      <c r="G867" s="24" t="s">
        <v>498</v>
      </c>
      <c r="H867" s="22" t="s">
        <v>500</v>
      </c>
      <c r="I867" s="22" t="s">
        <v>498</v>
      </c>
      <c r="J867" s="32"/>
      <c r="K867" s="32"/>
    </row>
    <row r="868" spans="1:11">
      <c r="A868" s="37"/>
      <c r="B868" s="18" t="s">
        <v>234</v>
      </c>
      <c r="C868" s="18"/>
      <c r="D868" s="18" t="s">
        <v>14</v>
      </c>
      <c r="E868" s="18" t="s">
        <v>14</v>
      </c>
      <c r="F868" s="18" t="s">
        <v>14</v>
      </c>
      <c r="G868" s="24" t="s">
        <v>15</v>
      </c>
      <c r="H868" s="22" t="s">
        <v>272</v>
      </c>
      <c r="I868" s="22" t="s">
        <v>285</v>
      </c>
      <c r="J868" s="32"/>
      <c r="K868" s="32"/>
    </row>
    <row r="869" spans="1:11">
      <c r="A869" s="37"/>
      <c r="B869" s="17"/>
      <c r="C869" s="18"/>
      <c r="D869" s="19"/>
      <c r="E869" s="19"/>
      <c r="F869" s="30"/>
      <c r="G869" s="31"/>
      <c r="H869" s="30"/>
      <c r="I869" s="30"/>
      <c r="J869" s="32"/>
      <c r="K869" s="32"/>
    </row>
    <row r="870" spans="1:11">
      <c r="A870" s="38"/>
      <c r="B870" s="29" t="s">
        <v>16</v>
      </c>
      <c r="C870" s="29"/>
      <c r="D870" s="40"/>
      <c r="E870" s="40"/>
      <c r="F870" s="30"/>
      <c r="G870" s="31"/>
      <c r="H870" s="30"/>
      <c r="I870" s="30"/>
      <c r="J870" s="32"/>
      <c r="K870" s="32"/>
    </row>
    <row r="871" spans="1:11">
      <c r="A871" s="16">
        <v>150000</v>
      </c>
      <c r="B871" s="33" t="s">
        <v>79</v>
      </c>
      <c r="C871" s="57">
        <v>5130</v>
      </c>
      <c r="D871" s="19">
        <v>0</v>
      </c>
      <c r="E871" s="19">
        <f>+F871</f>
        <v>180000</v>
      </c>
      <c r="F871" s="34">
        <v>180000</v>
      </c>
      <c r="G871" s="21">
        <f>+F871*0.1+F871</f>
        <v>198000</v>
      </c>
      <c r="H871" s="34">
        <f>+G871*0.1+G871</f>
        <v>217800</v>
      </c>
      <c r="I871" s="34">
        <f>+H871*0.1+H871</f>
        <v>239580</v>
      </c>
      <c r="J871" s="32"/>
      <c r="K871" s="32"/>
    </row>
    <row r="872" spans="1:11">
      <c r="A872" s="16">
        <v>10836.9</v>
      </c>
      <c r="B872" s="33" t="s">
        <v>110</v>
      </c>
      <c r="C872" s="57">
        <v>5240</v>
      </c>
      <c r="D872" s="19">
        <v>0</v>
      </c>
      <c r="E872" s="19">
        <v>0</v>
      </c>
      <c r="F872" s="34">
        <f>+A872*2</f>
        <v>21673.8</v>
      </c>
      <c r="G872" s="21">
        <f t="shared" ref="G872:I872" si="437">+F872*0.1+F872</f>
        <v>23841.18</v>
      </c>
      <c r="H872" s="34">
        <f t="shared" si="437"/>
        <v>26225.297999999999</v>
      </c>
      <c r="I872" s="34">
        <f t="shared" si="437"/>
        <v>28847.827799999999</v>
      </c>
      <c r="J872" s="32"/>
      <c r="K872" s="32"/>
    </row>
    <row r="873" spans="1:11">
      <c r="A873" s="16">
        <v>294661.37</v>
      </c>
      <c r="B873" s="35" t="s">
        <v>235</v>
      </c>
      <c r="C873" s="57">
        <v>5040</v>
      </c>
      <c r="D873" s="19">
        <v>67906.92</v>
      </c>
      <c r="E873" s="19">
        <f>+D873*3</f>
        <v>203720.76</v>
      </c>
      <c r="F873" s="34">
        <v>400000</v>
      </c>
      <c r="G873" s="21">
        <f>+F873*0.1+F873+11000-763</f>
        <v>450237</v>
      </c>
      <c r="H873" s="34">
        <f t="shared" ref="H873:I873" si="438">+G873*0.1+G873</f>
        <v>495260.7</v>
      </c>
      <c r="I873" s="34">
        <f t="shared" si="438"/>
        <v>544786.77</v>
      </c>
      <c r="J873" s="32"/>
      <c r="K873" s="32"/>
    </row>
    <row r="874" spans="1:11">
      <c r="A874" s="16">
        <f>+F874</f>
        <v>1900000</v>
      </c>
      <c r="B874" s="35" t="s">
        <v>236</v>
      </c>
      <c r="C874" s="57">
        <v>5060</v>
      </c>
      <c r="D874" s="19">
        <v>1754412.8</v>
      </c>
      <c r="E874" s="19">
        <f>+F874</f>
        <v>1900000</v>
      </c>
      <c r="F874" s="34">
        <v>1900000</v>
      </c>
      <c r="G874" s="21">
        <f>+F874*0.1+F874+405000-1205-500000</f>
        <v>1993795</v>
      </c>
      <c r="H874" s="34">
        <f t="shared" ref="H874:I874" si="439">+G874*0.1+G874</f>
        <v>2193174.5</v>
      </c>
      <c r="I874" s="34">
        <f t="shared" si="439"/>
        <v>2412491.9500000002</v>
      </c>
      <c r="J874" s="32"/>
      <c r="K874" s="32"/>
    </row>
    <row r="875" spans="1:11">
      <c r="A875" s="16">
        <v>1095140</v>
      </c>
      <c r="B875" s="35" t="s">
        <v>237</v>
      </c>
      <c r="C875" s="57">
        <v>5070</v>
      </c>
      <c r="D875" s="19">
        <v>0</v>
      </c>
      <c r="E875" s="19">
        <v>0</v>
      </c>
      <c r="F875" s="20">
        <v>0</v>
      </c>
      <c r="G875" s="21">
        <f t="shared" ref="G875:I875" si="440">+F875*0.1+F875</f>
        <v>0</v>
      </c>
      <c r="H875" s="34">
        <f t="shared" si="440"/>
        <v>0</v>
      </c>
      <c r="I875" s="34">
        <f t="shared" si="440"/>
        <v>0</v>
      </c>
      <c r="J875" s="32"/>
      <c r="K875" s="32"/>
    </row>
    <row r="876" spans="1:11">
      <c r="A876" s="16">
        <v>0</v>
      </c>
      <c r="B876" s="17" t="s">
        <v>51</v>
      </c>
      <c r="C876" s="57">
        <v>5270</v>
      </c>
      <c r="D876" s="19">
        <v>0</v>
      </c>
      <c r="E876" s="19">
        <v>0</v>
      </c>
      <c r="F876" s="34">
        <v>0</v>
      </c>
      <c r="G876" s="21">
        <f t="shared" ref="G876:I876" si="441">+F876*0.1+F876</f>
        <v>0</v>
      </c>
      <c r="H876" s="34">
        <f t="shared" si="441"/>
        <v>0</v>
      </c>
      <c r="I876" s="34">
        <f t="shared" si="441"/>
        <v>0</v>
      </c>
      <c r="J876" s="32"/>
      <c r="K876" s="32"/>
    </row>
    <row r="877" spans="1:11">
      <c r="A877" s="16">
        <f>10717590.68-1477557.66</f>
        <v>9240033.0199999996</v>
      </c>
      <c r="B877" s="17" t="s">
        <v>238</v>
      </c>
      <c r="C877" s="57">
        <v>5001</v>
      </c>
      <c r="D877" s="19">
        <v>5168997.1500000004</v>
      </c>
      <c r="E877" s="19">
        <f>+D877*2</f>
        <v>10337994.300000001</v>
      </c>
      <c r="F877" s="34">
        <f>+A877*0.1+A877</f>
        <v>10164036.321999999</v>
      </c>
      <c r="G877" s="21">
        <f>+F877*28.9/100+F877</f>
        <v>13101442.819057997</v>
      </c>
      <c r="H877" s="34">
        <f t="shared" ref="H877:I877" si="442">+G877*28.9/100+G877</f>
        <v>16887759.793765757</v>
      </c>
      <c r="I877" s="34">
        <f t="shared" si="442"/>
        <v>21768322.37416406</v>
      </c>
      <c r="J877" s="32"/>
      <c r="K877" s="32"/>
    </row>
    <row r="878" spans="1:11">
      <c r="A878" s="16">
        <f>1477805.41+1055575.31</f>
        <v>2533380.7199999997</v>
      </c>
      <c r="B878" s="17" t="s">
        <v>239</v>
      </c>
      <c r="C878" s="57">
        <v>5002</v>
      </c>
      <c r="D878" s="19">
        <v>1458039.69</v>
      </c>
      <c r="E878" s="19">
        <f>+F878</f>
        <v>3800071.0799999996</v>
      </c>
      <c r="F878" s="34">
        <f>+A878*1.5</f>
        <v>3800071.0799999996</v>
      </c>
      <c r="G878" s="21">
        <f>+F878*28.9/100+F878</f>
        <v>4898291.6221199995</v>
      </c>
      <c r="H878" s="34">
        <f t="shared" ref="H878:I878" si="443">+G878*28.9/100+G878</f>
        <v>6313897.9009126797</v>
      </c>
      <c r="I878" s="34">
        <f t="shared" si="443"/>
        <v>8138614.3942764439</v>
      </c>
      <c r="J878" s="32"/>
      <c r="K878" s="32"/>
    </row>
    <row r="879" spans="1:11">
      <c r="A879" s="16">
        <v>0</v>
      </c>
      <c r="B879" s="17"/>
      <c r="C879" s="57"/>
      <c r="D879" s="19"/>
      <c r="E879" s="19"/>
      <c r="F879" s="34"/>
      <c r="G879" s="21"/>
      <c r="H879" s="34"/>
      <c r="I879" s="34"/>
      <c r="J879" s="32"/>
      <c r="K879" s="32"/>
    </row>
    <row r="880" spans="1:11">
      <c r="A880" s="45">
        <f>SUM(A871:A879)</f>
        <v>15224052.009999998</v>
      </c>
      <c r="B880" s="17"/>
      <c r="C880" s="18"/>
      <c r="D880" s="49">
        <f t="shared" ref="D880:I880" si="444">SUM(D871:D879)</f>
        <v>8449356.5600000005</v>
      </c>
      <c r="E880" s="45">
        <f t="shared" si="444"/>
        <v>16421786.140000001</v>
      </c>
      <c r="F880" s="45">
        <f t="shared" si="444"/>
        <v>16465781.201999998</v>
      </c>
      <c r="G880" s="31">
        <f t="shared" si="444"/>
        <v>20665607.621177997</v>
      </c>
      <c r="H880" s="45">
        <f t="shared" si="444"/>
        <v>26134118.192678437</v>
      </c>
      <c r="I880" s="45">
        <f t="shared" si="444"/>
        <v>33132643.316240504</v>
      </c>
      <c r="J880" s="32"/>
      <c r="K880" s="32"/>
    </row>
    <row r="881" spans="1:11">
      <c r="A881" s="37"/>
      <c r="B881" s="29" t="s">
        <v>22</v>
      </c>
      <c r="C881" s="18"/>
      <c r="D881" s="19"/>
      <c r="E881" s="19"/>
      <c r="F881" s="30"/>
      <c r="G881" s="31"/>
      <c r="H881" s="30"/>
      <c r="I881" s="30"/>
      <c r="J881" s="32"/>
      <c r="K881" s="32"/>
    </row>
    <row r="882" spans="1:11">
      <c r="A882" s="38"/>
      <c r="B882" s="39" t="s">
        <v>23</v>
      </c>
      <c r="C882" s="29"/>
      <c r="D882" s="40"/>
      <c r="E882" s="40"/>
      <c r="F882" s="30"/>
      <c r="G882" s="31"/>
      <c r="H882" s="30"/>
      <c r="I882" s="30"/>
      <c r="J882" s="32"/>
      <c r="K882" s="32"/>
    </row>
    <row r="883" spans="1:11">
      <c r="A883" s="16">
        <v>827197.84</v>
      </c>
      <c r="B883" s="17" t="s">
        <v>81</v>
      </c>
      <c r="C883" s="57">
        <v>6010</v>
      </c>
      <c r="D883" s="19">
        <v>485219.51</v>
      </c>
      <c r="E883" s="19">
        <f>+D883*2</f>
        <v>970439.02</v>
      </c>
      <c r="F883" s="34">
        <f>+'[1]STAFF SALARIES SUMMARY'!C22+'[1]STAFF SALARIES SUMMARY'!D22</f>
        <v>934292.51</v>
      </c>
      <c r="G883" s="21">
        <f>E883*8.3%+E883</f>
        <v>1050985.45866</v>
      </c>
      <c r="H883" s="34">
        <f>G883*8.3%+G883</f>
        <v>1138217.2517287801</v>
      </c>
      <c r="I883" s="34">
        <f>H883*8.3%+H883</f>
        <v>1232689.2836222688</v>
      </c>
      <c r="J883" s="32"/>
      <c r="K883" s="32"/>
    </row>
    <row r="884" spans="1:11">
      <c r="A884" s="16">
        <v>62690</v>
      </c>
      <c r="B884" s="17" t="s">
        <v>55</v>
      </c>
      <c r="C884" s="57">
        <v>6030</v>
      </c>
      <c r="D884" s="19">
        <v>20728.8</v>
      </c>
      <c r="E884" s="19">
        <f>+F884</f>
        <v>76476.899999999994</v>
      </c>
      <c r="F884" s="20">
        <f>+'[1]STAFF SALARIES SUMMARY'!I22</f>
        <v>76476.899999999994</v>
      </c>
      <c r="G884" s="21">
        <f t="shared" ref="G884:G891" si="445">E884*8.3%+E884</f>
        <v>82824.482699999993</v>
      </c>
      <c r="H884" s="34">
        <f t="shared" ref="H884:I884" si="446">G884*8.3%+G884</f>
        <v>89698.914764099987</v>
      </c>
      <c r="I884" s="34">
        <f t="shared" si="446"/>
        <v>97143.924689520281</v>
      </c>
      <c r="J884" s="32"/>
      <c r="K884" s="32"/>
    </row>
    <row r="885" spans="1:11">
      <c r="A885" s="16">
        <v>120000</v>
      </c>
      <c r="B885" s="17" t="s">
        <v>133</v>
      </c>
      <c r="C885" s="57">
        <v>6040</v>
      </c>
      <c r="D885" s="19">
        <v>101307.69</v>
      </c>
      <c r="E885" s="19">
        <f>+D885*2</f>
        <v>202615.38</v>
      </c>
      <c r="F885" s="20">
        <f>+'[1]STAFF SALARIES SUMMARY'!G22</f>
        <v>177322.17</v>
      </c>
      <c r="G885" s="21">
        <f t="shared" si="445"/>
        <v>219432.45654000001</v>
      </c>
      <c r="H885" s="34">
        <f t="shared" ref="H885:I885" si="447">G885*8.3%+G885</f>
        <v>237645.35043282001</v>
      </c>
      <c r="I885" s="34">
        <f t="shared" si="447"/>
        <v>257369.91451874407</v>
      </c>
      <c r="J885" s="32"/>
      <c r="K885" s="32"/>
    </row>
    <row r="886" spans="1:11">
      <c r="A886" s="16">
        <v>127360</v>
      </c>
      <c r="B886" s="17" t="s">
        <v>115</v>
      </c>
      <c r="C886" s="57">
        <v>6050</v>
      </c>
      <c r="D886" s="19">
        <v>96027.06</v>
      </c>
      <c r="E886" s="19">
        <f>+D886*2</f>
        <v>192054.12</v>
      </c>
      <c r="F886" s="34">
        <f>+'[1]STAFF SALARIES SUMMARY'!H22</f>
        <v>155263.29</v>
      </c>
      <c r="G886" s="21">
        <f t="shared" si="445"/>
        <v>207994.61196000001</v>
      </c>
      <c r="H886" s="34">
        <f t="shared" ref="H886:I886" si="448">G886*8.3%+G886</f>
        <v>225258.16475268002</v>
      </c>
      <c r="I886" s="34">
        <f t="shared" si="448"/>
        <v>243954.59242715247</v>
      </c>
      <c r="J886" s="32"/>
      <c r="K886" s="32"/>
    </row>
    <row r="887" spans="1:11">
      <c r="A887" s="16"/>
      <c r="B887" s="17" t="s">
        <v>316</v>
      </c>
      <c r="C887" s="57">
        <v>6080</v>
      </c>
      <c r="D887" s="19">
        <v>19.22</v>
      </c>
      <c r="E887" s="19">
        <f>+D887</f>
        <v>19.22</v>
      </c>
      <c r="F887" s="34"/>
      <c r="G887" s="21">
        <v>0</v>
      </c>
      <c r="H887" s="34">
        <f t="shared" ref="H887:I887" si="449">G887*8.3%+G887</f>
        <v>0</v>
      </c>
      <c r="I887" s="34">
        <f t="shared" si="449"/>
        <v>0</v>
      </c>
      <c r="J887" s="32"/>
      <c r="K887" s="32"/>
    </row>
    <row r="888" spans="1:11">
      <c r="A888" s="16">
        <v>61206.66</v>
      </c>
      <c r="B888" s="17" t="s">
        <v>85</v>
      </c>
      <c r="C888" s="57">
        <v>6070</v>
      </c>
      <c r="D888" s="19">
        <v>95967.99</v>
      </c>
      <c r="E888" s="19">
        <f>+D888*2</f>
        <v>191935.98</v>
      </c>
      <c r="F888" s="34">
        <f>+'[1]STAFF SALARIES SUMMARY'!E22</f>
        <v>66300</v>
      </c>
      <c r="G888" s="21">
        <f t="shared" si="445"/>
        <v>207866.66634000003</v>
      </c>
      <c r="H888" s="34">
        <f t="shared" ref="H888:I888" si="450">G888*8.3%+G888</f>
        <v>225119.59964622004</v>
      </c>
      <c r="I888" s="34">
        <f t="shared" si="450"/>
        <v>243804.5264168563</v>
      </c>
      <c r="J888" s="32"/>
      <c r="K888" s="32"/>
    </row>
    <row r="889" spans="1:11">
      <c r="A889" s="16">
        <v>2295.15</v>
      </c>
      <c r="B889" s="17" t="s">
        <v>217</v>
      </c>
      <c r="C889" s="57">
        <v>6085</v>
      </c>
      <c r="D889" s="19"/>
      <c r="E889" s="19"/>
      <c r="F889" s="20">
        <f>+'[1]STAFF SALARIES SUMMARY'!F22</f>
        <v>0</v>
      </c>
      <c r="G889" s="21">
        <f t="shared" si="445"/>
        <v>0</v>
      </c>
      <c r="H889" s="34">
        <f t="shared" ref="H889:I889" si="451">G889*8.3%+G889</f>
        <v>0</v>
      </c>
      <c r="I889" s="34">
        <f t="shared" si="451"/>
        <v>0</v>
      </c>
      <c r="J889" s="32"/>
      <c r="K889" s="32"/>
    </row>
    <row r="890" spans="1:11">
      <c r="A890" s="16">
        <v>550</v>
      </c>
      <c r="B890" s="17" t="s">
        <v>86</v>
      </c>
      <c r="C890" s="57">
        <v>6088</v>
      </c>
      <c r="D890" s="19">
        <v>247.5</v>
      </c>
      <c r="E890" s="19">
        <f>F890</f>
        <v>663</v>
      </c>
      <c r="F890" s="20">
        <f>+'[1]STAFF SALARIES SUMMARY'!K22</f>
        <v>663</v>
      </c>
      <c r="G890" s="21">
        <f t="shared" si="445"/>
        <v>718.029</v>
      </c>
      <c r="H890" s="34">
        <f t="shared" ref="H890:I890" si="452">G890*8.3%+G890</f>
        <v>777.625407</v>
      </c>
      <c r="I890" s="34">
        <f t="shared" si="452"/>
        <v>842.16831578100005</v>
      </c>
      <c r="J890" s="32"/>
      <c r="K890" s="32"/>
    </row>
    <row r="891" spans="1:11">
      <c r="A891" s="16">
        <v>8197.56</v>
      </c>
      <c r="B891" s="17" t="s">
        <v>0</v>
      </c>
      <c r="C891" s="57">
        <v>6087</v>
      </c>
      <c r="D891" s="19">
        <v>5563.83</v>
      </c>
      <c r="E891" s="19">
        <f>+D891*2</f>
        <v>11127.66</v>
      </c>
      <c r="F891" s="20">
        <f>+'[1]STAFF SALARIES SUMMARY'!J23</f>
        <v>956.6</v>
      </c>
      <c r="G891" s="21">
        <f t="shared" si="445"/>
        <v>12051.25578</v>
      </c>
      <c r="H891" s="34">
        <f t="shared" ref="H891:I891" si="453">G891*8.3%+G891</f>
        <v>13051.510009739999</v>
      </c>
      <c r="I891" s="34">
        <f t="shared" si="453"/>
        <v>14134.785340548418</v>
      </c>
      <c r="J891" s="32"/>
      <c r="K891" s="32"/>
    </row>
    <row r="892" spans="1:11">
      <c r="A892" s="45">
        <f>SUM(A883:A891)</f>
        <v>1209497.2099999997</v>
      </c>
      <c r="B892" s="17"/>
      <c r="C892" s="18"/>
      <c r="D892" s="49">
        <f t="shared" ref="D892:I892" si="454">SUM(D883:D891)</f>
        <v>805081.59999999998</v>
      </c>
      <c r="E892" s="45">
        <f t="shared" si="454"/>
        <v>1645331.2799999998</v>
      </c>
      <c r="F892" s="45">
        <f t="shared" si="454"/>
        <v>1411274.4700000002</v>
      </c>
      <c r="G892" s="31">
        <f t="shared" si="454"/>
        <v>1781872.9609800002</v>
      </c>
      <c r="H892" s="45">
        <f t="shared" si="454"/>
        <v>1929768.4167413402</v>
      </c>
      <c r="I892" s="45">
        <f t="shared" si="454"/>
        <v>2089939.1953308715</v>
      </c>
      <c r="J892" s="32"/>
      <c r="K892" s="32"/>
    </row>
    <row r="893" spans="1:11">
      <c r="A893" s="38"/>
      <c r="B893" s="39" t="s">
        <v>30</v>
      </c>
      <c r="C893" s="29"/>
      <c r="D893" s="40"/>
      <c r="E893" s="40"/>
      <c r="F893" s="30"/>
      <c r="G893" s="31"/>
      <c r="H893" s="30"/>
      <c r="I893" s="30"/>
      <c r="J893" s="32"/>
      <c r="K893" s="32"/>
    </row>
    <row r="894" spans="1:11">
      <c r="A894" s="16">
        <v>6425</v>
      </c>
      <c r="B894" s="35" t="s">
        <v>121</v>
      </c>
      <c r="C894" s="57">
        <v>6120</v>
      </c>
      <c r="D894" s="19">
        <v>0</v>
      </c>
      <c r="E894" s="19">
        <v>0</v>
      </c>
      <c r="F894" s="34">
        <v>6425</v>
      </c>
      <c r="G894" s="21">
        <v>0</v>
      </c>
      <c r="H894" s="34">
        <f>+G894*6.3/100+G894</f>
        <v>0</v>
      </c>
      <c r="I894" s="34">
        <f>+H894*6.3/100+H894</f>
        <v>0</v>
      </c>
      <c r="J894" s="32"/>
      <c r="K894" s="32"/>
    </row>
    <row r="895" spans="1:11">
      <c r="A895" s="16">
        <v>6300</v>
      </c>
      <c r="B895" s="17" t="s">
        <v>240</v>
      </c>
      <c r="C895" s="57">
        <v>6130</v>
      </c>
      <c r="D895" s="19">
        <v>0</v>
      </c>
      <c r="E895" s="19">
        <v>0</v>
      </c>
      <c r="F895" s="34">
        <v>6300</v>
      </c>
      <c r="G895" s="21">
        <v>0</v>
      </c>
      <c r="H895" s="34">
        <v>0</v>
      </c>
      <c r="I895" s="34">
        <v>0</v>
      </c>
      <c r="J895" s="32"/>
      <c r="K895" s="32"/>
    </row>
    <row r="896" spans="1:11">
      <c r="A896" s="16">
        <v>8250</v>
      </c>
      <c r="B896" s="17" t="s">
        <v>316</v>
      </c>
      <c r="C896" s="57">
        <v>7090</v>
      </c>
      <c r="D896" s="19">
        <v>12000</v>
      </c>
      <c r="E896" s="19">
        <f>+D896</f>
        <v>12000</v>
      </c>
      <c r="F896" s="34">
        <v>12000</v>
      </c>
      <c r="G896" s="21">
        <f>E896*6.3%+E896+21</f>
        <v>12777</v>
      </c>
      <c r="H896" s="34">
        <f>G896*6.3%+35000</f>
        <v>35804.951000000001</v>
      </c>
      <c r="I896" s="34">
        <f>H896*6.3%+35000</f>
        <v>37255.711912999999</v>
      </c>
      <c r="J896" s="32"/>
      <c r="K896" s="32"/>
    </row>
    <row r="897" spans="1:11">
      <c r="A897" s="16">
        <v>42000</v>
      </c>
      <c r="B897" s="17" t="s">
        <v>87</v>
      </c>
      <c r="C897" s="57">
        <v>6140</v>
      </c>
      <c r="D897" s="19">
        <v>23702.5</v>
      </c>
      <c r="E897" s="19">
        <f>F897</f>
        <v>42000</v>
      </c>
      <c r="F897" s="34">
        <v>42000</v>
      </c>
      <c r="G897" s="21">
        <f t="shared" ref="G897:G909" si="455">E897*6.3%+E897</f>
        <v>44646</v>
      </c>
      <c r="H897" s="34">
        <f t="shared" ref="H897:I897" si="456">G897*6.3%+42000</f>
        <v>44812.697999999997</v>
      </c>
      <c r="I897" s="34">
        <f t="shared" si="456"/>
        <v>44823.199974000003</v>
      </c>
      <c r="J897" s="32"/>
      <c r="K897" s="32"/>
    </row>
    <row r="898" spans="1:11">
      <c r="A898" s="16">
        <v>1900000</v>
      </c>
      <c r="B898" s="17" t="s">
        <v>480</v>
      </c>
      <c r="C898" s="57">
        <v>6240</v>
      </c>
      <c r="D898" s="19">
        <v>4084.19</v>
      </c>
      <c r="E898" s="19">
        <f>+D898</f>
        <v>4084.19</v>
      </c>
      <c r="F898" s="34">
        <f>+A898*0.1+A898</f>
        <v>2090000</v>
      </c>
      <c r="G898" s="21">
        <f t="shared" si="455"/>
        <v>4341.4939700000004</v>
      </c>
      <c r="H898" s="34">
        <v>0</v>
      </c>
      <c r="I898" s="34">
        <v>0</v>
      </c>
      <c r="J898" s="32"/>
      <c r="K898" s="32"/>
    </row>
    <row r="899" spans="1:11">
      <c r="A899" s="16">
        <v>1000000</v>
      </c>
      <c r="B899" s="17" t="s">
        <v>481</v>
      </c>
      <c r="C899" s="57">
        <v>6250</v>
      </c>
      <c r="D899" s="19">
        <v>711392.85</v>
      </c>
      <c r="E899" s="19">
        <f>+D899*2</f>
        <v>1422785.7</v>
      </c>
      <c r="F899" s="34">
        <f>+A899*0.1+A899</f>
        <v>1100000</v>
      </c>
      <c r="G899" s="21">
        <v>1600000</v>
      </c>
      <c r="H899" s="34">
        <f>+G899*0.1+G899</f>
        <v>1760000</v>
      </c>
      <c r="I899" s="34">
        <f>+H899*0.1+H899</f>
        <v>1936000</v>
      </c>
      <c r="J899" s="32"/>
      <c r="K899" s="32"/>
    </row>
    <row r="900" spans="1:11">
      <c r="A900" s="51">
        <v>74000</v>
      </c>
      <c r="B900" s="17" t="s">
        <v>277</v>
      </c>
      <c r="C900" s="57">
        <v>6528</v>
      </c>
      <c r="D900" s="19">
        <v>18683.61</v>
      </c>
      <c r="E900" s="19">
        <f>+F900-20000</f>
        <v>34000</v>
      </c>
      <c r="F900" s="63">
        <f>74000-20000</f>
        <v>54000</v>
      </c>
      <c r="G900" s="21">
        <f t="shared" si="455"/>
        <v>36142</v>
      </c>
      <c r="H900" s="63">
        <f>+G900*6.3/100+G900</f>
        <v>38418.945999999996</v>
      </c>
      <c r="I900" s="63">
        <f>+H900*6.3/100+H900</f>
        <v>40839.339597999999</v>
      </c>
      <c r="J900" s="32"/>
      <c r="K900" s="32"/>
    </row>
    <row r="901" spans="1:11">
      <c r="A901" s="16">
        <f t="shared" ref="A901:A902" si="457">+F901</f>
        <v>109300</v>
      </c>
      <c r="B901" s="17" t="s">
        <v>90</v>
      </c>
      <c r="C901" s="57">
        <v>6540</v>
      </c>
      <c r="D901" s="19">
        <v>57632.3</v>
      </c>
      <c r="E901" s="19">
        <f>+F901</f>
        <v>109300</v>
      </c>
      <c r="F901" s="34">
        <v>109300</v>
      </c>
      <c r="G901" s="21">
        <f t="shared" si="455"/>
        <v>116185.9</v>
      </c>
      <c r="H901" s="63">
        <f t="shared" ref="H901:I901" si="458">+G901*6.3/100+G901</f>
        <v>123505.61169999999</v>
      </c>
      <c r="I901" s="63">
        <f t="shared" si="458"/>
        <v>131286.4652371</v>
      </c>
      <c r="J901" s="32"/>
      <c r="K901" s="32"/>
    </row>
    <row r="902" spans="1:11">
      <c r="A902" s="16">
        <f t="shared" si="457"/>
        <v>12300</v>
      </c>
      <c r="B902" s="17" t="s">
        <v>219</v>
      </c>
      <c r="C902" s="57">
        <v>6570</v>
      </c>
      <c r="D902" s="19"/>
      <c r="E902" s="19">
        <f>+F902/2</f>
        <v>6150</v>
      </c>
      <c r="F902" s="34">
        <v>12300</v>
      </c>
      <c r="G902" s="21">
        <f>E902/2</f>
        <v>3075</v>
      </c>
      <c r="H902" s="63">
        <f t="shared" ref="H902:I902" si="459">+G902*6.3/100+G902</f>
        <v>3268.7249999999999</v>
      </c>
      <c r="I902" s="63">
        <f t="shared" si="459"/>
        <v>3474.6546749999998</v>
      </c>
      <c r="J902" s="32"/>
      <c r="K902" s="32"/>
    </row>
    <row r="903" spans="1:11">
      <c r="A903" s="16">
        <v>0</v>
      </c>
      <c r="B903" s="17" t="s">
        <v>241</v>
      </c>
      <c r="C903" s="57">
        <v>6630</v>
      </c>
      <c r="D903" s="19"/>
      <c r="E903" s="19">
        <v>0</v>
      </c>
      <c r="F903" s="20">
        <v>0</v>
      </c>
      <c r="G903" s="21">
        <f t="shared" si="455"/>
        <v>0</v>
      </c>
      <c r="H903" s="63">
        <f t="shared" ref="H903:I903" si="460">+G903*6.3/100+G903</f>
        <v>0</v>
      </c>
      <c r="I903" s="63">
        <f t="shared" si="460"/>
        <v>0</v>
      </c>
      <c r="J903" s="32"/>
      <c r="K903" s="32"/>
    </row>
    <row r="904" spans="1:11">
      <c r="A904" s="41">
        <f>+F904</f>
        <v>7660</v>
      </c>
      <c r="B904" s="53" t="s">
        <v>184</v>
      </c>
      <c r="C904" s="64">
        <v>6690</v>
      </c>
      <c r="D904" s="43"/>
      <c r="E904" s="43">
        <v>0</v>
      </c>
      <c r="F904" s="20">
        <v>7660</v>
      </c>
      <c r="G904" s="21">
        <f t="shared" si="455"/>
        <v>0</v>
      </c>
      <c r="H904" s="63">
        <f t="shared" ref="H904:I904" si="461">+G904*6.3/100+G904</f>
        <v>0</v>
      </c>
      <c r="I904" s="63">
        <f t="shared" si="461"/>
        <v>0</v>
      </c>
      <c r="J904" s="32"/>
      <c r="K904" s="32"/>
    </row>
    <row r="905" spans="1:11">
      <c r="A905" s="41">
        <f>+F905</f>
        <v>23400</v>
      </c>
      <c r="B905" s="53" t="s">
        <v>93</v>
      </c>
      <c r="C905" s="64">
        <v>6780</v>
      </c>
      <c r="D905" s="43">
        <v>4802</v>
      </c>
      <c r="E905" s="43">
        <f>+D905*2</f>
        <v>9604</v>
      </c>
      <c r="F905" s="20">
        <v>23400</v>
      </c>
      <c r="G905" s="21">
        <f t="shared" si="455"/>
        <v>10209.052</v>
      </c>
      <c r="H905" s="63">
        <f t="shared" ref="H905:I905" si="462">+G905*6.3/100+G905</f>
        <v>10852.222276</v>
      </c>
      <c r="I905" s="63">
        <f t="shared" si="462"/>
        <v>11535.912279388</v>
      </c>
      <c r="J905" s="32"/>
      <c r="K905" s="32"/>
    </row>
    <row r="906" spans="1:11">
      <c r="A906" s="41">
        <v>1800</v>
      </c>
      <c r="B906" s="53" t="s">
        <v>37</v>
      </c>
      <c r="C906" s="64">
        <v>6790</v>
      </c>
      <c r="D906" s="43">
        <v>575.85</v>
      </c>
      <c r="E906" s="43">
        <f>+D906</f>
        <v>575.85</v>
      </c>
      <c r="F906" s="20">
        <v>0</v>
      </c>
      <c r="G906" s="21">
        <v>0</v>
      </c>
      <c r="H906" s="63">
        <f t="shared" ref="H906:I906" si="463">+G906*6.3/100+G906</f>
        <v>0</v>
      </c>
      <c r="I906" s="63">
        <f t="shared" si="463"/>
        <v>0</v>
      </c>
      <c r="J906" s="32"/>
      <c r="K906" s="32"/>
    </row>
    <row r="907" spans="1:11">
      <c r="A907" s="41">
        <f t="shared" ref="A907:A911" si="464">+F907</f>
        <v>157600</v>
      </c>
      <c r="B907" s="53" t="s">
        <v>167</v>
      </c>
      <c r="C907" s="64">
        <v>6920</v>
      </c>
      <c r="D907" s="43">
        <v>14841.61</v>
      </c>
      <c r="E907" s="43">
        <f>+D907*2</f>
        <v>29683.22</v>
      </c>
      <c r="F907" s="20">
        <v>157600</v>
      </c>
      <c r="G907" s="21">
        <v>30000</v>
      </c>
      <c r="H907" s="63">
        <f t="shared" ref="H907:I907" si="465">+G907*6.3/100+G907</f>
        <v>31890</v>
      </c>
      <c r="I907" s="63">
        <f t="shared" si="465"/>
        <v>33899.07</v>
      </c>
      <c r="J907" s="32"/>
      <c r="K907" s="32"/>
    </row>
    <row r="908" spans="1:11">
      <c r="A908" s="16">
        <f t="shared" si="464"/>
        <v>256200</v>
      </c>
      <c r="B908" s="17" t="s">
        <v>279</v>
      </c>
      <c r="C908" s="57">
        <v>6970</v>
      </c>
      <c r="D908" s="19">
        <v>84139.01</v>
      </c>
      <c r="E908" s="19">
        <f>+F908</f>
        <v>256200</v>
      </c>
      <c r="F908" s="20">
        <v>256200</v>
      </c>
      <c r="G908" s="21">
        <v>200000</v>
      </c>
      <c r="H908" s="63">
        <f t="shared" ref="H908:I908" si="466">+G908*6.3/100+G908</f>
        <v>212600</v>
      </c>
      <c r="I908" s="63">
        <f t="shared" si="466"/>
        <v>225993.8</v>
      </c>
      <c r="J908" s="32"/>
      <c r="K908" s="32"/>
    </row>
    <row r="909" spans="1:11">
      <c r="A909" s="16">
        <f t="shared" si="464"/>
        <v>4700</v>
      </c>
      <c r="B909" s="17" t="s">
        <v>39</v>
      </c>
      <c r="C909" s="57">
        <v>6990</v>
      </c>
      <c r="D909" s="19">
        <v>3579.22</v>
      </c>
      <c r="E909" s="19">
        <f>+D909*2</f>
        <v>7158.44</v>
      </c>
      <c r="F909" s="20">
        <v>4700</v>
      </c>
      <c r="G909" s="21">
        <f t="shared" si="455"/>
        <v>7609.4217199999994</v>
      </c>
      <c r="H909" s="63">
        <f t="shared" ref="H909:I909" si="467">+G909*6.3/100+G909</f>
        <v>8088.8152883599996</v>
      </c>
      <c r="I909" s="63">
        <f t="shared" si="467"/>
        <v>8598.4106515266794</v>
      </c>
      <c r="J909" s="32"/>
      <c r="K909" s="32"/>
    </row>
    <row r="910" spans="1:11">
      <c r="A910" s="16">
        <f t="shared" si="464"/>
        <v>73500</v>
      </c>
      <c r="B910" s="17" t="s">
        <v>63</v>
      </c>
      <c r="C910" s="57">
        <v>7020</v>
      </c>
      <c r="D910" s="19">
        <v>51537.37</v>
      </c>
      <c r="E910" s="19">
        <f>+D910*2</f>
        <v>103074.74</v>
      </c>
      <c r="F910" s="20">
        <v>73500</v>
      </c>
      <c r="G910" s="21">
        <v>90000</v>
      </c>
      <c r="H910" s="63">
        <f t="shared" ref="H910:I910" si="468">+G910*6.3/100+G910</f>
        <v>95670</v>
      </c>
      <c r="I910" s="63">
        <f t="shared" si="468"/>
        <v>101697.21</v>
      </c>
      <c r="J910" s="32"/>
      <c r="K910" s="32"/>
    </row>
    <row r="911" spans="1:11">
      <c r="A911" s="16">
        <f t="shared" si="464"/>
        <v>30700</v>
      </c>
      <c r="B911" s="17" t="s">
        <v>65</v>
      </c>
      <c r="C911" s="57">
        <v>7081</v>
      </c>
      <c r="D911" s="19">
        <v>7850.56</v>
      </c>
      <c r="E911" s="19">
        <f>+F911/2</f>
        <v>15350</v>
      </c>
      <c r="F911" s="20">
        <v>30700</v>
      </c>
      <c r="G911" s="21">
        <f>E911</f>
        <v>15350</v>
      </c>
      <c r="H911" s="63">
        <f t="shared" ref="H911:I911" si="469">+G911*6.3/100+G911</f>
        <v>16317.05</v>
      </c>
      <c r="I911" s="63">
        <f t="shared" si="469"/>
        <v>17345.024149999997</v>
      </c>
      <c r="J911" s="32"/>
      <c r="K911" s="32"/>
    </row>
    <row r="912" spans="1:11">
      <c r="A912" s="45">
        <f>SUM(A894:A911)</f>
        <v>3714135</v>
      </c>
      <c r="B912" s="17"/>
      <c r="C912" s="18"/>
      <c r="D912" s="49">
        <f t="shared" ref="D912:I912" si="470">SUM(D894:D911)</f>
        <v>994821.07000000007</v>
      </c>
      <c r="E912" s="45">
        <f t="shared" si="470"/>
        <v>2051966.14</v>
      </c>
      <c r="F912" s="45">
        <f t="shared" si="470"/>
        <v>3986085</v>
      </c>
      <c r="G912" s="31">
        <f t="shared" si="470"/>
        <v>2170335.8676899998</v>
      </c>
      <c r="H912" s="45">
        <f t="shared" si="470"/>
        <v>2381229.01926436</v>
      </c>
      <c r="I912" s="45">
        <f t="shared" si="470"/>
        <v>2592748.7984780143</v>
      </c>
      <c r="J912" s="32"/>
      <c r="K912" s="32"/>
    </row>
    <row r="913" spans="1:11">
      <c r="A913" s="38"/>
      <c r="B913" s="39" t="s">
        <v>69</v>
      </c>
      <c r="C913" s="29"/>
      <c r="D913" s="40"/>
      <c r="E913" s="40"/>
      <c r="F913" s="30"/>
      <c r="G913" s="31"/>
      <c r="H913" s="30"/>
      <c r="I913" s="30"/>
      <c r="J913" s="32"/>
      <c r="K913" s="32"/>
    </row>
    <row r="914" spans="1:11">
      <c r="A914" s="51">
        <f>105000+65000</f>
        <v>170000</v>
      </c>
      <c r="B914" s="17" t="s">
        <v>242</v>
      </c>
      <c r="C914" s="57">
        <v>7250</v>
      </c>
      <c r="D914" s="19">
        <v>3512.95</v>
      </c>
      <c r="E914" s="19">
        <f>F914</f>
        <v>210000</v>
      </c>
      <c r="F914" s="63">
        <v>210000</v>
      </c>
      <c r="G914" s="21">
        <f>F914*6.3%+210000</f>
        <v>223230</v>
      </c>
      <c r="H914" s="63">
        <f t="shared" ref="H914:I914" si="471">+G914*6.3/100+G914</f>
        <v>237293.49</v>
      </c>
      <c r="I914" s="63">
        <f t="shared" si="471"/>
        <v>252242.97986999998</v>
      </c>
      <c r="J914" s="32"/>
      <c r="K914" s="32"/>
    </row>
    <row r="915" spans="1:11">
      <c r="A915" s="51">
        <f>52500+30000</f>
        <v>82500</v>
      </c>
      <c r="B915" s="17" t="s">
        <v>202</v>
      </c>
      <c r="C915" s="57">
        <v>7280</v>
      </c>
      <c r="D915" s="19">
        <v>356.84</v>
      </c>
      <c r="E915" s="19">
        <f>+F915/2</f>
        <v>45375</v>
      </c>
      <c r="F915" s="63">
        <f>+A915*0.1+A915</f>
        <v>90750</v>
      </c>
      <c r="G915" s="21">
        <v>50000</v>
      </c>
      <c r="H915" s="63">
        <f t="shared" ref="H915:I915" si="472">+G915*6.3/100+G915</f>
        <v>53150</v>
      </c>
      <c r="I915" s="63">
        <f t="shared" si="472"/>
        <v>56498.45</v>
      </c>
      <c r="J915" s="32"/>
      <c r="K915" s="32"/>
    </row>
    <row r="916" spans="1:11">
      <c r="A916" s="51">
        <f>85000+70000</f>
        <v>155000</v>
      </c>
      <c r="B916" s="17" t="s">
        <v>243</v>
      </c>
      <c r="C916" s="57">
        <v>7330</v>
      </c>
      <c r="D916" s="19">
        <v>3407.23</v>
      </c>
      <c r="E916" s="19">
        <f>+F916</f>
        <v>155000</v>
      </c>
      <c r="F916" s="63">
        <v>155000</v>
      </c>
      <c r="G916" s="21">
        <v>100000</v>
      </c>
      <c r="H916" s="63">
        <f t="shared" ref="H916:I916" si="473">+G916*6.3/100+G916</f>
        <v>106300</v>
      </c>
      <c r="I916" s="63">
        <f t="shared" si="473"/>
        <v>112996.9</v>
      </c>
      <c r="J916" s="32"/>
      <c r="K916" s="32"/>
    </row>
    <row r="917" spans="1:11">
      <c r="A917" s="51">
        <v>0</v>
      </c>
      <c r="B917" s="17" t="s">
        <v>42</v>
      </c>
      <c r="C917" s="57">
        <v>7350</v>
      </c>
      <c r="D917" s="19">
        <v>0</v>
      </c>
      <c r="E917" s="19">
        <v>20000</v>
      </c>
      <c r="F917" s="63">
        <v>0</v>
      </c>
      <c r="G917" s="21">
        <f>E917</f>
        <v>20000</v>
      </c>
      <c r="H917" s="63">
        <f t="shared" ref="H917:I917" si="474">+G917*6.3/100+G917</f>
        <v>21260</v>
      </c>
      <c r="I917" s="63">
        <f t="shared" si="474"/>
        <v>22599.38</v>
      </c>
      <c r="J917" s="32"/>
      <c r="K917" s="32"/>
    </row>
    <row r="918" spans="1:11">
      <c r="A918" s="36">
        <f>SUM(A914:A917)</f>
        <v>407500</v>
      </c>
      <c r="B918" s="17"/>
      <c r="C918" s="18"/>
      <c r="D918" s="36">
        <f t="shared" ref="D918:I918" si="475">SUM(D914:D917)</f>
        <v>7277.02</v>
      </c>
      <c r="E918" s="36">
        <f t="shared" si="475"/>
        <v>430375</v>
      </c>
      <c r="F918" s="36">
        <f t="shared" si="475"/>
        <v>455750</v>
      </c>
      <c r="G918" s="48">
        <f t="shared" si="475"/>
        <v>393230</v>
      </c>
      <c r="H918" s="36">
        <f t="shared" si="475"/>
        <v>418003.49</v>
      </c>
      <c r="I918" s="36">
        <f t="shared" si="475"/>
        <v>444337.70987000002</v>
      </c>
      <c r="J918" s="32"/>
      <c r="K918" s="32"/>
    </row>
    <row r="919" spans="1:11">
      <c r="A919" s="36"/>
      <c r="B919" s="39" t="s">
        <v>244</v>
      </c>
      <c r="C919" s="18"/>
      <c r="D919" s="19"/>
      <c r="E919" s="19"/>
      <c r="F919" s="36"/>
      <c r="G919" s="48"/>
      <c r="H919" s="36"/>
      <c r="I919" s="36"/>
      <c r="J919" s="32"/>
      <c r="K919" s="32"/>
    </row>
    <row r="920" spans="1:11">
      <c r="A920" s="51">
        <f>+F920</f>
        <v>98700</v>
      </c>
      <c r="B920" s="17" t="s">
        <v>245</v>
      </c>
      <c r="C920" s="57">
        <v>7410</v>
      </c>
      <c r="D920" s="19">
        <v>39948.78</v>
      </c>
      <c r="E920" s="19">
        <f>+F920</f>
        <v>98700</v>
      </c>
      <c r="F920" s="51">
        <v>98700</v>
      </c>
      <c r="G920" s="52">
        <f>F920*10%+98700</f>
        <v>108570</v>
      </c>
      <c r="H920" s="51">
        <f>G920*10%+98700</f>
        <v>109557</v>
      </c>
      <c r="I920" s="51">
        <f>H920*10%+98700</f>
        <v>109655.7</v>
      </c>
      <c r="J920" s="32"/>
      <c r="K920" s="32"/>
    </row>
    <row r="921" spans="1:11">
      <c r="A921" s="51">
        <f>+F921</f>
        <v>156400</v>
      </c>
      <c r="B921" s="17" t="s">
        <v>246</v>
      </c>
      <c r="C921" s="57">
        <v>7420</v>
      </c>
      <c r="D921" s="19">
        <v>0</v>
      </c>
      <c r="E921" s="19">
        <v>0</v>
      </c>
      <c r="F921" s="51">
        <v>156400</v>
      </c>
      <c r="G921" s="52">
        <v>0</v>
      </c>
      <c r="H921" s="51">
        <v>0</v>
      </c>
      <c r="I921" s="51">
        <v>0</v>
      </c>
      <c r="J921" s="32"/>
      <c r="K921" s="32"/>
    </row>
    <row r="922" spans="1:11">
      <c r="A922" s="49">
        <f>SUM(A920:A921)</f>
        <v>255100</v>
      </c>
      <c r="B922" s="17"/>
      <c r="C922" s="18"/>
      <c r="D922" s="49">
        <f t="shared" ref="D922:I922" si="476">SUM(D920:D921)</f>
        <v>39948.78</v>
      </c>
      <c r="E922" s="49">
        <f t="shared" si="476"/>
        <v>98700</v>
      </c>
      <c r="F922" s="49">
        <f t="shared" si="476"/>
        <v>255100</v>
      </c>
      <c r="G922" s="48">
        <f t="shared" si="476"/>
        <v>108570</v>
      </c>
      <c r="H922" s="49">
        <f t="shared" si="476"/>
        <v>109557</v>
      </c>
      <c r="I922" s="49">
        <f t="shared" si="476"/>
        <v>109655.7</v>
      </c>
      <c r="J922" s="32"/>
      <c r="K922" s="32"/>
    </row>
    <row r="923" spans="1:11">
      <c r="A923" s="51"/>
      <c r="B923" s="39" t="s">
        <v>67</v>
      </c>
      <c r="C923" s="17"/>
      <c r="D923" s="19"/>
      <c r="E923" s="19"/>
      <c r="F923" s="49"/>
      <c r="G923" s="48"/>
      <c r="H923" s="36"/>
      <c r="I923" s="36"/>
      <c r="J923" s="32"/>
      <c r="K923" s="32"/>
    </row>
    <row r="924" spans="1:11">
      <c r="A924" s="51">
        <v>356900</v>
      </c>
      <c r="B924" s="17" t="s">
        <v>45</v>
      </c>
      <c r="C924" s="57">
        <v>7800</v>
      </c>
      <c r="D924" s="19">
        <v>157269.84</v>
      </c>
      <c r="E924" s="19">
        <f>+F924</f>
        <v>442986</v>
      </c>
      <c r="F924" s="49">
        <v>442986</v>
      </c>
      <c r="G924" s="52">
        <f>F924*10%+F924</f>
        <v>487284.6</v>
      </c>
      <c r="H924" s="51">
        <f>G924*10%+G924</f>
        <v>536013.05999999994</v>
      </c>
      <c r="I924" s="51">
        <f>H924*10%+H924</f>
        <v>589614.36599999992</v>
      </c>
      <c r="J924" s="32"/>
      <c r="K924" s="32"/>
    </row>
    <row r="925" spans="1:11">
      <c r="A925" s="51"/>
      <c r="B925" s="17"/>
      <c r="C925" s="17"/>
      <c r="D925" s="19"/>
      <c r="E925" s="19"/>
      <c r="F925" s="49"/>
      <c r="G925" s="48"/>
      <c r="H925" s="36"/>
      <c r="I925" s="36"/>
      <c r="J925" s="32"/>
      <c r="K925" s="32"/>
    </row>
    <row r="926" spans="1:11">
      <c r="A926" s="51"/>
      <c r="B926" s="39" t="s">
        <v>247</v>
      </c>
      <c r="C926" s="17"/>
      <c r="D926" s="19"/>
      <c r="E926" s="19"/>
      <c r="F926" s="49"/>
      <c r="G926" s="48"/>
      <c r="H926" s="36"/>
      <c r="I926" s="36"/>
      <c r="J926" s="32"/>
      <c r="K926" s="32"/>
    </row>
    <row r="927" spans="1:11">
      <c r="A927" s="51">
        <v>40000</v>
      </c>
      <c r="B927" s="17" t="s">
        <v>248</v>
      </c>
      <c r="C927" s="57">
        <v>6101</v>
      </c>
      <c r="D927" s="19">
        <v>18992.150000000001</v>
      </c>
      <c r="E927" s="19">
        <f>+F927</f>
        <v>44000</v>
      </c>
      <c r="F927" s="63">
        <f>+A927*0.1+A927</f>
        <v>44000</v>
      </c>
      <c r="G927" s="52">
        <f>F927*28.9%+44000</f>
        <v>56716</v>
      </c>
      <c r="H927" s="63">
        <f>G927*28.9%+44000</f>
        <v>60390.923999999999</v>
      </c>
      <c r="I927" s="63">
        <f>H927*28.9%+44000</f>
        <v>61452.977035999997</v>
      </c>
      <c r="J927" s="32"/>
      <c r="K927" s="32"/>
    </row>
    <row r="928" spans="1:11">
      <c r="A928" s="51">
        <f>+F928</f>
        <v>5000</v>
      </c>
      <c r="B928" s="17" t="s">
        <v>249</v>
      </c>
      <c r="C928" s="57">
        <v>6102</v>
      </c>
      <c r="D928" s="19" t="s">
        <v>478</v>
      </c>
      <c r="E928" s="19">
        <f>+F928</f>
        <v>5000</v>
      </c>
      <c r="F928" s="63">
        <v>5000</v>
      </c>
      <c r="G928" s="52">
        <v>0</v>
      </c>
      <c r="H928" s="63">
        <f>G928*28.9%+5000</f>
        <v>5000</v>
      </c>
      <c r="I928" s="63">
        <f>H928*28.9%+5000</f>
        <v>6445</v>
      </c>
      <c r="J928" s="32"/>
      <c r="K928" s="32"/>
    </row>
    <row r="929" spans="1:11">
      <c r="A929" s="51">
        <f>2610000+600000</f>
        <v>3210000</v>
      </c>
      <c r="B929" s="17" t="s">
        <v>250</v>
      </c>
      <c r="C929" s="57">
        <v>6103</v>
      </c>
      <c r="D929" s="19">
        <v>2143223.16</v>
      </c>
      <c r="E929" s="19">
        <f>+D929*2</f>
        <v>4286446.32</v>
      </c>
      <c r="F929" s="63">
        <f>+A929*0.1+A929</f>
        <v>3531000</v>
      </c>
      <c r="G929" s="52">
        <f>F929*28.9%+4286446.32</f>
        <v>5306905.32</v>
      </c>
      <c r="H929" s="63">
        <f>G929*28.9%+4286446.32</f>
        <v>5820141.9574800003</v>
      </c>
      <c r="I929" s="63">
        <f>H929*28.9%+4286446.32</f>
        <v>5968467.3457117202</v>
      </c>
      <c r="J929" s="32"/>
      <c r="K929" s="32"/>
    </row>
    <row r="930" spans="1:11">
      <c r="A930" s="51">
        <f>+F930</f>
        <v>5000</v>
      </c>
      <c r="B930" s="17" t="s">
        <v>251</v>
      </c>
      <c r="C930" s="57">
        <v>6104</v>
      </c>
      <c r="D930" s="19">
        <v>3369.34</v>
      </c>
      <c r="E930" s="19">
        <f>+F930</f>
        <v>5000</v>
      </c>
      <c r="F930" s="63">
        <v>5000</v>
      </c>
      <c r="G930" s="52">
        <f>F930*28.9%+5000</f>
        <v>6445</v>
      </c>
      <c r="H930" s="63">
        <f>G930*28.9%+5000</f>
        <v>6862.6049999999996</v>
      </c>
      <c r="I930" s="63">
        <f>H930*28.9%+5000</f>
        <v>6983.2928449999999</v>
      </c>
      <c r="J930" s="32"/>
      <c r="K930" s="32"/>
    </row>
    <row r="931" spans="1:11">
      <c r="A931" s="51">
        <f>2600000+250000</f>
        <v>2850000</v>
      </c>
      <c r="B931" s="17" t="s">
        <v>252</v>
      </c>
      <c r="C931" s="57">
        <v>6105</v>
      </c>
      <c r="D931" s="19">
        <v>3326303.13</v>
      </c>
      <c r="E931" s="19">
        <f>+D931*2</f>
        <v>6652606.2599999998</v>
      </c>
      <c r="F931" s="63">
        <f>+A931*0.1+A931</f>
        <v>3135000</v>
      </c>
      <c r="G931" s="52">
        <f>F931*28.9%+6652606.26</f>
        <v>7558621.2599999998</v>
      </c>
      <c r="H931" s="63">
        <f>G931*28.9%+6652606.26</f>
        <v>8837047.8041399997</v>
      </c>
      <c r="I931" s="63">
        <f>H931*28.9%+6652606.26</f>
        <v>9206513.0753964595</v>
      </c>
      <c r="J931" s="32"/>
      <c r="K931" s="32"/>
    </row>
    <row r="932" spans="1:11">
      <c r="A932" s="51">
        <v>250000</v>
      </c>
      <c r="B932" s="17" t="s">
        <v>253</v>
      </c>
      <c r="C932" s="57">
        <v>6106</v>
      </c>
      <c r="D932" s="19">
        <v>114078</v>
      </c>
      <c r="E932" s="19">
        <f>+F932</f>
        <v>300000</v>
      </c>
      <c r="F932" s="63">
        <v>300000</v>
      </c>
      <c r="G932" s="52">
        <f>F932*28.9%+300000</f>
        <v>386700</v>
      </c>
      <c r="H932" s="63">
        <f>G932*28.9%+300000</f>
        <v>411756.3</v>
      </c>
      <c r="I932" s="63">
        <f>H932*28.9%+300000</f>
        <v>418997.57069999998</v>
      </c>
      <c r="J932" s="32"/>
      <c r="K932" s="32"/>
    </row>
    <row r="933" spans="1:11">
      <c r="A933" s="51">
        <f>50000+45000</f>
        <v>95000</v>
      </c>
      <c r="B933" s="17" t="s">
        <v>254</v>
      </c>
      <c r="C933" s="57">
        <v>6107</v>
      </c>
      <c r="D933" s="19">
        <v>38500</v>
      </c>
      <c r="E933" s="19">
        <f>+F933</f>
        <v>50000</v>
      </c>
      <c r="F933" s="51">
        <v>50000</v>
      </c>
      <c r="G933" s="52">
        <f>F933*28.9%+50000</f>
        <v>64450</v>
      </c>
      <c r="H933" s="63">
        <f>G933*28.9%+50000</f>
        <v>68626.05</v>
      </c>
      <c r="I933" s="63">
        <f>H933*28.9%+50000</f>
        <v>69832.928450000007</v>
      </c>
      <c r="J933" s="32"/>
      <c r="K933" s="32"/>
    </row>
    <row r="934" spans="1:11">
      <c r="A934" s="49">
        <f>SUM(A927:A933)</f>
        <v>6455000</v>
      </c>
      <c r="B934" s="39"/>
      <c r="C934" s="18"/>
      <c r="D934" s="49">
        <f t="shared" ref="D934:I934" si="477">SUM(D927:D933)</f>
        <v>5644465.7799999993</v>
      </c>
      <c r="E934" s="49">
        <f t="shared" si="477"/>
        <v>11343052.58</v>
      </c>
      <c r="F934" s="49">
        <f t="shared" si="477"/>
        <v>7070000</v>
      </c>
      <c r="G934" s="48">
        <f t="shared" si="477"/>
        <v>13379837.58</v>
      </c>
      <c r="H934" s="49">
        <f t="shared" si="477"/>
        <v>15209825.640620001</v>
      </c>
      <c r="I934" s="49">
        <f t="shared" si="477"/>
        <v>15738692.190139178</v>
      </c>
      <c r="J934" s="32"/>
      <c r="K934" s="32"/>
    </row>
    <row r="935" spans="1:11">
      <c r="A935" s="36"/>
      <c r="B935" s="39"/>
      <c r="C935" s="18"/>
      <c r="D935" s="19"/>
      <c r="E935" s="19"/>
      <c r="F935" s="49"/>
      <c r="G935" s="48"/>
      <c r="H935" s="49"/>
      <c r="I935" s="49"/>
      <c r="J935" s="32"/>
      <c r="K935" s="32"/>
    </row>
    <row r="936" spans="1:11">
      <c r="A936" s="49">
        <f>+A934+A924+A922+A918+A912+A892</f>
        <v>12398132.209999999</v>
      </c>
      <c r="B936" s="39" t="s">
        <v>46</v>
      </c>
      <c r="C936" s="18"/>
      <c r="D936" s="49">
        <f t="shared" ref="D936:I936" si="478">+D934+D924+D922+D918+D912+D892</f>
        <v>7648864.0899999989</v>
      </c>
      <c r="E936" s="49">
        <f t="shared" si="478"/>
        <v>16012411</v>
      </c>
      <c r="F936" s="49">
        <f t="shared" si="478"/>
        <v>13621195.470000001</v>
      </c>
      <c r="G936" s="48">
        <f t="shared" si="478"/>
        <v>18321131.008670002</v>
      </c>
      <c r="H936" s="49">
        <f t="shared" si="478"/>
        <v>20584396.626625702</v>
      </c>
      <c r="I936" s="49">
        <f t="shared" si="478"/>
        <v>21564987.959818065</v>
      </c>
      <c r="J936" s="32"/>
      <c r="K936" s="32"/>
    </row>
    <row r="937" spans="1:11">
      <c r="A937" s="49">
        <f>+A880-A936</f>
        <v>2825919.7999999989</v>
      </c>
      <c r="B937" s="44" t="str">
        <f>B60</f>
        <v>NETT AMOUNT</v>
      </c>
      <c r="C937" s="18"/>
      <c r="D937" s="49">
        <f t="shared" ref="D937:I937" si="479">+D880-D936</f>
        <v>800492.4700000016</v>
      </c>
      <c r="E937" s="49">
        <f t="shared" si="479"/>
        <v>409375.1400000006</v>
      </c>
      <c r="F937" s="49">
        <f t="shared" si="479"/>
        <v>2844585.731999997</v>
      </c>
      <c r="G937" s="48">
        <f t="shared" si="479"/>
        <v>2344476.6125079952</v>
      </c>
      <c r="H937" s="49">
        <f t="shared" si="479"/>
        <v>5549721.5660527349</v>
      </c>
      <c r="I937" s="49">
        <f t="shared" si="479"/>
        <v>11567655.356422439</v>
      </c>
      <c r="J937" s="32"/>
      <c r="K937" s="32"/>
    </row>
    <row r="938" spans="1:11">
      <c r="A938" s="36"/>
      <c r="B938" s="44"/>
      <c r="C938" s="18"/>
      <c r="D938" s="19"/>
      <c r="E938" s="19"/>
      <c r="F938" s="36"/>
      <c r="G938" s="48"/>
      <c r="H938" s="36"/>
      <c r="I938" s="36"/>
      <c r="J938" s="32"/>
      <c r="K938" s="32"/>
    </row>
    <row r="939" spans="1:11">
      <c r="A939" s="51"/>
      <c r="B939" s="17"/>
      <c r="C939" s="17"/>
      <c r="D939" s="19"/>
      <c r="E939" s="19"/>
      <c r="F939" s="36"/>
      <c r="G939" s="48"/>
      <c r="H939" s="36"/>
      <c r="I939" s="36"/>
      <c r="J939" s="32"/>
      <c r="K939" s="32"/>
    </row>
    <row r="940" spans="1:11">
      <c r="A940" s="37" t="s">
        <v>72</v>
      </c>
      <c r="B940" s="17"/>
      <c r="C940" s="18"/>
      <c r="D940" s="18" t="s">
        <v>469</v>
      </c>
      <c r="E940" s="18" t="s">
        <v>473</v>
      </c>
      <c r="F940" s="18" t="s">
        <v>73</v>
      </c>
      <c r="G940" s="24" t="s">
        <v>73</v>
      </c>
      <c r="H940" s="22" t="s">
        <v>651</v>
      </c>
      <c r="I940" s="22" t="s">
        <v>651</v>
      </c>
      <c r="J940" s="32"/>
      <c r="K940" s="32"/>
    </row>
    <row r="941" spans="1:11">
      <c r="A941" s="37" t="s">
        <v>10</v>
      </c>
      <c r="B941" s="29" t="s">
        <v>255</v>
      </c>
      <c r="C941" s="18" t="str">
        <f>C2</f>
        <v>ABAKUS</v>
      </c>
      <c r="D941" s="18" t="s">
        <v>470</v>
      </c>
      <c r="E941" s="18" t="s">
        <v>10</v>
      </c>
      <c r="F941" s="18" t="s">
        <v>11</v>
      </c>
      <c r="G941" s="24" t="s">
        <v>498</v>
      </c>
      <c r="H941" s="22" t="s">
        <v>500</v>
      </c>
      <c r="I941" s="22" t="s">
        <v>498</v>
      </c>
      <c r="J941" s="32"/>
      <c r="K941" s="32"/>
    </row>
    <row r="942" spans="1:11">
      <c r="A942" s="37" t="s">
        <v>13</v>
      </c>
      <c r="B942" s="17"/>
      <c r="C942" s="18" t="str">
        <f>C3</f>
        <v>VOTES</v>
      </c>
      <c r="D942" s="18" t="s">
        <v>14</v>
      </c>
      <c r="E942" s="18" t="s">
        <v>14</v>
      </c>
      <c r="F942" s="18" t="s">
        <v>14</v>
      </c>
      <c r="G942" s="24" t="s">
        <v>15</v>
      </c>
      <c r="H942" s="22" t="s">
        <v>272</v>
      </c>
      <c r="I942" s="22" t="s">
        <v>285</v>
      </c>
      <c r="J942" s="32"/>
      <c r="K942" s="32"/>
    </row>
    <row r="943" spans="1:11">
      <c r="A943" s="36"/>
      <c r="B943" s="18" t="s">
        <v>256</v>
      </c>
      <c r="C943" s="18"/>
      <c r="D943" s="19"/>
      <c r="E943" s="19"/>
      <c r="F943" s="36"/>
      <c r="G943" s="48"/>
      <c r="H943" s="36"/>
      <c r="I943" s="36"/>
      <c r="J943" s="32"/>
      <c r="K943" s="32"/>
    </row>
    <row r="944" spans="1:11">
      <c r="A944" s="36"/>
      <c r="B944" s="17"/>
      <c r="C944" s="18"/>
      <c r="D944" s="19"/>
      <c r="E944" s="19"/>
      <c r="F944" s="36"/>
      <c r="G944" s="48"/>
      <c r="H944" s="36"/>
      <c r="I944" s="36"/>
      <c r="J944" s="32"/>
      <c r="K944" s="32"/>
    </row>
    <row r="945" spans="1:11">
      <c r="A945" s="65"/>
      <c r="B945" s="29" t="s">
        <v>16</v>
      </c>
      <c r="C945" s="29"/>
      <c r="D945" s="40"/>
      <c r="E945" s="40"/>
      <c r="F945" s="36"/>
      <c r="G945" s="48"/>
      <c r="H945" s="36"/>
      <c r="I945" s="36"/>
      <c r="J945" s="32"/>
      <c r="K945" s="32"/>
    </row>
    <row r="946" spans="1:11">
      <c r="A946" s="36"/>
      <c r="B946" s="17"/>
      <c r="C946" s="18"/>
      <c r="D946" s="19"/>
      <c r="E946" s="19"/>
      <c r="F946" s="36"/>
      <c r="G946" s="48"/>
      <c r="H946" s="36"/>
      <c r="I946" s="36"/>
      <c r="J946" s="32"/>
      <c r="K946" s="32"/>
    </row>
    <row r="947" spans="1:11">
      <c r="A947" s="36"/>
      <c r="B947" s="17"/>
      <c r="C947" s="18"/>
      <c r="D947" s="19"/>
      <c r="E947" s="19"/>
      <c r="F947" s="36"/>
      <c r="G947" s="48"/>
      <c r="H947" s="36"/>
      <c r="I947" s="36"/>
      <c r="J947" s="32"/>
      <c r="K947" s="32"/>
    </row>
    <row r="948" spans="1:11">
      <c r="A948" s="36"/>
      <c r="B948" s="17"/>
      <c r="C948" s="18"/>
      <c r="D948" s="19"/>
      <c r="E948" s="19"/>
      <c r="F948" s="36">
        <f>SUM(F947:F947)</f>
        <v>0</v>
      </c>
      <c r="G948" s="48"/>
      <c r="H948" s="36"/>
      <c r="I948" s="36"/>
      <c r="J948" s="32"/>
      <c r="K948" s="32"/>
    </row>
    <row r="949" spans="1:11">
      <c r="A949" s="36"/>
      <c r="B949" s="29" t="s">
        <v>22</v>
      </c>
      <c r="C949" s="18"/>
      <c r="D949" s="19"/>
      <c r="E949" s="19"/>
      <c r="F949" s="36"/>
      <c r="G949" s="48"/>
      <c r="H949" s="36"/>
      <c r="I949" s="36"/>
      <c r="J949" s="32"/>
      <c r="K949" s="32"/>
    </row>
    <row r="950" spans="1:11">
      <c r="A950" s="65"/>
      <c r="B950" s="39" t="s">
        <v>23</v>
      </c>
      <c r="C950" s="29"/>
      <c r="D950" s="40"/>
      <c r="E950" s="40"/>
      <c r="F950" s="36"/>
      <c r="G950" s="48"/>
      <c r="H950" s="36"/>
      <c r="I950" s="36"/>
      <c r="J950" s="32"/>
      <c r="K950" s="32"/>
    </row>
    <row r="951" spans="1:11">
      <c r="A951" s="51">
        <v>153080</v>
      </c>
      <c r="B951" s="17" t="s">
        <v>81</v>
      </c>
      <c r="C951" s="18">
        <v>6010</v>
      </c>
      <c r="D951" s="19">
        <v>27785.54</v>
      </c>
      <c r="E951" s="19">
        <f>+F951</f>
        <v>103631.40999999999</v>
      </c>
      <c r="F951" s="51">
        <f>+'[1]STAFF SALARIES SUMMARY'!C23+'[1]STAFF SALARIES SUMMARY'!D23</f>
        <v>103631.40999999999</v>
      </c>
      <c r="G951" s="52">
        <f>F951*8.3%+F951</f>
        <v>112232.81702999999</v>
      </c>
      <c r="H951" s="51">
        <f>G951*8.3%+G951</f>
        <v>121548.14084348999</v>
      </c>
      <c r="I951" s="51">
        <f>H951*8.3%+H951</f>
        <v>131636.63653349967</v>
      </c>
      <c r="J951" s="32"/>
      <c r="K951" s="32"/>
    </row>
    <row r="952" spans="1:11">
      <c r="A952" s="51">
        <v>0</v>
      </c>
      <c r="B952" s="17" t="s">
        <v>55</v>
      </c>
      <c r="C952" s="18">
        <v>6030</v>
      </c>
      <c r="D952" s="19"/>
      <c r="E952" s="19">
        <v>0</v>
      </c>
      <c r="F952" s="63">
        <f>+'[1]STAFF SALARIES SUMMARY'!I23</f>
        <v>0</v>
      </c>
      <c r="G952" s="52">
        <f t="shared" ref="G952:I952" si="480">F952*8.3%+F952</f>
        <v>0</v>
      </c>
      <c r="H952" s="51">
        <f t="shared" si="480"/>
        <v>0</v>
      </c>
      <c r="I952" s="51">
        <f t="shared" si="480"/>
        <v>0</v>
      </c>
      <c r="J952" s="32"/>
      <c r="K952" s="32"/>
    </row>
    <row r="953" spans="1:11">
      <c r="A953" s="51">
        <v>16000</v>
      </c>
      <c r="B953" s="17" t="s">
        <v>133</v>
      </c>
      <c r="C953" s="18">
        <v>6040</v>
      </c>
      <c r="D953" s="19">
        <v>5537.42</v>
      </c>
      <c r="E953" s="19">
        <f>+D953*2</f>
        <v>11074.84</v>
      </c>
      <c r="F953" s="63">
        <f>+'[1]STAFF SALARIES SUMMARY'!G23</f>
        <v>23914.94</v>
      </c>
      <c r="G953" s="52">
        <f t="shared" ref="G953:I953" si="481">F953*8.3%+F953</f>
        <v>25899.880019999997</v>
      </c>
      <c r="H953" s="51">
        <f t="shared" si="481"/>
        <v>28049.570061659997</v>
      </c>
      <c r="I953" s="51">
        <f t="shared" si="481"/>
        <v>30377.684376777775</v>
      </c>
      <c r="J953" s="32"/>
      <c r="K953" s="32"/>
    </row>
    <row r="954" spans="1:11">
      <c r="A954" s="51">
        <f>15460+13000</f>
        <v>28460</v>
      </c>
      <c r="B954" s="17" t="s">
        <v>115</v>
      </c>
      <c r="C954" s="18">
        <v>6050</v>
      </c>
      <c r="D954" s="19">
        <v>5978.75</v>
      </c>
      <c r="E954" s="19">
        <f>+F954</f>
        <v>17218.759999999998</v>
      </c>
      <c r="F954" s="63">
        <f>+'[1]STAFF SALARIES SUMMARY'!H23</f>
        <v>17218.759999999998</v>
      </c>
      <c r="G954" s="52">
        <f t="shared" ref="G954:I954" si="482">F954*8.3%+F954</f>
        <v>18647.917079999999</v>
      </c>
      <c r="H954" s="51">
        <f t="shared" si="482"/>
        <v>20195.694197639998</v>
      </c>
      <c r="I954" s="51">
        <f t="shared" si="482"/>
        <v>21871.936816044119</v>
      </c>
      <c r="J954" s="32"/>
      <c r="K954" s="32"/>
    </row>
    <row r="955" spans="1:11">
      <c r="A955" s="51"/>
      <c r="B955" s="17" t="s">
        <v>85</v>
      </c>
      <c r="C955" s="18">
        <v>6070</v>
      </c>
      <c r="D955" s="19">
        <v>2005.62</v>
      </c>
      <c r="E955" s="19">
        <f>+D955</f>
        <v>2005.62</v>
      </c>
      <c r="F955" s="63"/>
      <c r="G955" s="52">
        <f t="shared" ref="G955:I955" si="483">F955*8.3%+F955</f>
        <v>0</v>
      </c>
      <c r="H955" s="51">
        <f t="shared" si="483"/>
        <v>0</v>
      </c>
      <c r="I955" s="51">
        <f t="shared" si="483"/>
        <v>0</v>
      </c>
      <c r="J955" s="32"/>
      <c r="K955" s="32"/>
    </row>
    <row r="956" spans="1:11">
      <c r="A956" s="51">
        <v>0</v>
      </c>
      <c r="B956" s="17" t="s">
        <v>217</v>
      </c>
      <c r="C956" s="18">
        <v>6085</v>
      </c>
      <c r="D956" s="19"/>
      <c r="E956" s="19">
        <v>0</v>
      </c>
      <c r="F956" s="51">
        <f>+'[1]STAFF SALARIES SUMMARY'!F23</f>
        <v>0</v>
      </c>
      <c r="G956" s="52">
        <f t="shared" ref="G956:I956" si="484">F956*8.3%+F956</f>
        <v>0</v>
      </c>
      <c r="H956" s="51">
        <f t="shared" si="484"/>
        <v>0</v>
      </c>
      <c r="I956" s="51">
        <f t="shared" si="484"/>
        <v>0</v>
      </c>
      <c r="J956" s="32"/>
      <c r="K956" s="32"/>
    </row>
    <row r="957" spans="1:11">
      <c r="A957" s="51">
        <v>100</v>
      </c>
      <c r="B957" s="17" t="s">
        <v>86</v>
      </c>
      <c r="C957" s="18">
        <v>6088</v>
      </c>
      <c r="D957" s="19">
        <v>22.5</v>
      </c>
      <c r="E957" s="19">
        <f>+F957</f>
        <v>110.5</v>
      </c>
      <c r="F957" s="51">
        <f>+'[1]STAFF SALARIES SUMMARY'!K23</f>
        <v>110.5</v>
      </c>
      <c r="G957" s="52">
        <f t="shared" ref="G957:I957" si="485">F957*8.3%+F957</f>
        <v>119.67149999999999</v>
      </c>
      <c r="H957" s="51">
        <f t="shared" si="485"/>
        <v>129.60423449999999</v>
      </c>
      <c r="I957" s="51">
        <f t="shared" si="485"/>
        <v>140.3613859635</v>
      </c>
      <c r="J957" s="32"/>
      <c r="K957" s="32"/>
    </row>
    <row r="958" spans="1:11">
      <c r="A958" s="51">
        <f>840+840</f>
        <v>1680</v>
      </c>
      <c r="B958" s="17" t="s">
        <v>0</v>
      </c>
      <c r="C958" s="18">
        <v>6087</v>
      </c>
      <c r="D958" s="19">
        <v>353.29</v>
      </c>
      <c r="E958" s="19">
        <f>+F958</f>
        <v>956.6</v>
      </c>
      <c r="F958" s="51">
        <f>+'[1]STAFF SALARIES SUMMARY'!J23</f>
        <v>956.6</v>
      </c>
      <c r="G958" s="52">
        <f t="shared" ref="G958:I958" si="486">F958*8.3%+F958</f>
        <v>1035.9978000000001</v>
      </c>
      <c r="H958" s="51">
        <f t="shared" si="486"/>
        <v>1121.9856174000001</v>
      </c>
      <c r="I958" s="51">
        <f t="shared" si="486"/>
        <v>1215.1104236442002</v>
      </c>
      <c r="J958" s="32"/>
      <c r="K958" s="32"/>
    </row>
    <row r="959" spans="1:11">
      <c r="A959" s="49">
        <f>SUM(A951:A958)</f>
        <v>199320</v>
      </c>
      <c r="B959" s="17"/>
      <c r="C959" s="18"/>
      <c r="D959" s="49">
        <f t="shared" ref="D959:I959" si="487">SUM(D951:D958)</f>
        <v>41683.120000000003</v>
      </c>
      <c r="E959" s="49">
        <f t="shared" si="487"/>
        <v>134997.72999999998</v>
      </c>
      <c r="F959" s="49">
        <f t="shared" si="487"/>
        <v>145832.21</v>
      </c>
      <c r="G959" s="48">
        <f t="shared" si="487"/>
        <v>157936.28343000001</v>
      </c>
      <c r="H959" s="49">
        <f t="shared" si="487"/>
        <v>171044.99495468999</v>
      </c>
      <c r="I959" s="49">
        <f t="shared" si="487"/>
        <v>185241.72953592925</v>
      </c>
      <c r="J959" s="32"/>
      <c r="K959" s="32"/>
    </row>
    <row r="960" spans="1:11">
      <c r="A960" s="66"/>
      <c r="B960" s="39" t="s">
        <v>30</v>
      </c>
      <c r="C960" s="29"/>
      <c r="D960" s="19"/>
      <c r="E960" s="19"/>
      <c r="F960" s="49"/>
      <c r="G960" s="48"/>
      <c r="H960" s="49"/>
      <c r="I960" s="49"/>
      <c r="J960" s="32"/>
      <c r="K960" s="32"/>
    </row>
    <row r="961" spans="1:11">
      <c r="A961" s="51">
        <v>1510</v>
      </c>
      <c r="B961" s="17" t="s">
        <v>33</v>
      </c>
      <c r="C961" s="18">
        <v>6570</v>
      </c>
      <c r="D961" s="19"/>
      <c r="E961" s="19">
        <f>+F961/2</f>
        <v>755</v>
      </c>
      <c r="F961" s="63">
        <v>1510</v>
      </c>
      <c r="G961" s="52">
        <f>F961*6.3%+F961</f>
        <v>1605.13</v>
      </c>
      <c r="H961" s="63">
        <f>G961*6.3%+G961</f>
        <v>1706.2531900000001</v>
      </c>
      <c r="I961" s="63">
        <f>H961*6.3%+H961</f>
        <v>1813.7471409700001</v>
      </c>
      <c r="J961" s="32"/>
      <c r="K961" s="32"/>
    </row>
    <row r="962" spans="1:11">
      <c r="A962" s="51">
        <v>1000</v>
      </c>
      <c r="B962" s="17" t="s">
        <v>62</v>
      </c>
      <c r="C962" s="18">
        <v>6690</v>
      </c>
      <c r="D962" s="19"/>
      <c r="E962" s="19">
        <v>0</v>
      </c>
      <c r="F962" s="63">
        <v>1000</v>
      </c>
      <c r="G962" s="52">
        <f t="shared" ref="G962:I962" si="488">F962*6.3%+F962</f>
        <v>1063</v>
      </c>
      <c r="H962" s="63">
        <f t="shared" si="488"/>
        <v>1129.9690000000001</v>
      </c>
      <c r="I962" s="63">
        <f t="shared" si="488"/>
        <v>1201.1570470000001</v>
      </c>
      <c r="J962" s="32"/>
      <c r="K962" s="32"/>
    </row>
    <row r="963" spans="1:11">
      <c r="A963" s="51">
        <v>4500</v>
      </c>
      <c r="B963" s="17" t="s">
        <v>316</v>
      </c>
      <c r="C963" s="18">
        <v>7090</v>
      </c>
      <c r="D963" s="19">
        <v>1613.63</v>
      </c>
      <c r="E963" s="19">
        <f>+F963</f>
        <v>4500</v>
      </c>
      <c r="F963" s="63">
        <v>4500</v>
      </c>
      <c r="G963" s="52">
        <f t="shared" ref="G963:I963" si="489">F963*6.3%+F963</f>
        <v>4783.5</v>
      </c>
      <c r="H963" s="63">
        <f t="shared" si="489"/>
        <v>5084.8604999999998</v>
      </c>
      <c r="I963" s="63">
        <f t="shared" si="489"/>
        <v>5405.2067115</v>
      </c>
      <c r="J963" s="32"/>
      <c r="K963" s="32"/>
    </row>
    <row r="964" spans="1:11">
      <c r="A964" s="51">
        <v>5300</v>
      </c>
      <c r="B964" s="17" t="s">
        <v>99</v>
      </c>
      <c r="C964" s="18">
        <v>6970</v>
      </c>
      <c r="D964" s="19"/>
      <c r="E964" s="19"/>
      <c r="F964" s="63">
        <v>0</v>
      </c>
      <c r="G964" s="52">
        <f t="shared" ref="G964:I964" si="490">F964*6.3%+F964</f>
        <v>0</v>
      </c>
      <c r="H964" s="63">
        <f t="shared" si="490"/>
        <v>0</v>
      </c>
      <c r="I964" s="63">
        <f t="shared" si="490"/>
        <v>0</v>
      </c>
      <c r="J964" s="32"/>
      <c r="K964" s="32"/>
    </row>
    <row r="965" spans="1:11">
      <c r="A965" s="51">
        <v>2300</v>
      </c>
      <c r="B965" s="17" t="s">
        <v>65</v>
      </c>
      <c r="C965" s="18">
        <v>7081</v>
      </c>
      <c r="D965" s="19"/>
      <c r="E965" s="19">
        <f>+F965/2</f>
        <v>1150</v>
      </c>
      <c r="F965" s="51">
        <v>2300</v>
      </c>
      <c r="G965" s="52">
        <f t="shared" ref="G965:I965" si="491">F965*6.3%+F965</f>
        <v>2444.9</v>
      </c>
      <c r="H965" s="63">
        <f t="shared" si="491"/>
        <v>2598.9286999999999</v>
      </c>
      <c r="I965" s="63">
        <f t="shared" si="491"/>
        <v>2762.6612080999998</v>
      </c>
      <c r="J965" s="32"/>
      <c r="K965" s="32"/>
    </row>
    <row r="966" spans="1:11">
      <c r="A966" s="49">
        <f>SUM(A961:A965)</f>
        <v>14610</v>
      </c>
      <c r="B966" s="17"/>
      <c r="C966" s="18"/>
      <c r="D966" s="49">
        <f t="shared" ref="D966:I966" si="492">SUM(D961:D965)</f>
        <v>1613.63</v>
      </c>
      <c r="E966" s="49">
        <f t="shared" si="492"/>
        <v>6405</v>
      </c>
      <c r="F966" s="49">
        <f t="shared" si="492"/>
        <v>9310</v>
      </c>
      <c r="G966" s="48">
        <f t="shared" si="492"/>
        <v>9896.5300000000007</v>
      </c>
      <c r="H966" s="49">
        <f t="shared" si="492"/>
        <v>10520.01139</v>
      </c>
      <c r="I966" s="49">
        <f t="shared" si="492"/>
        <v>11182.772107570001</v>
      </c>
      <c r="J966" s="32"/>
      <c r="K966" s="32"/>
    </row>
    <row r="967" spans="1:11">
      <c r="A967" s="51"/>
      <c r="B967" s="17"/>
      <c r="C967" s="18"/>
      <c r="D967" s="19"/>
      <c r="E967" s="19"/>
      <c r="F967" s="49"/>
      <c r="G967" s="48"/>
      <c r="H967" s="49"/>
      <c r="I967" s="49"/>
      <c r="J967" s="32"/>
      <c r="K967" s="32"/>
    </row>
    <row r="968" spans="1:11">
      <c r="A968" s="36"/>
      <c r="B968" s="39" t="s">
        <v>41</v>
      </c>
      <c r="C968" s="18"/>
      <c r="D968" s="19"/>
      <c r="E968" s="19"/>
      <c r="F968" s="36"/>
      <c r="G968" s="48"/>
      <c r="H968" s="36"/>
      <c r="I968" s="36"/>
      <c r="J968" s="32"/>
      <c r="K968" s="32"/>
    </row>
    <row r="969" spans="1:11">
      <c r="A969" s="36">
        <f>48000+40000</f>
        <v>88000</v>
      </c>
      <c r="B969" s="17" t="s">
        <v>257</v>
      </c>
      <c r="C969" s="18">
        <v>7310</v>
      </c>
      <c r="D969" s="19">
        <v>0</v>
      </c>
      <c r="E969" s="19">
        <f>F969</f>
        <v>48000</v>
      </c>
      <c r="F969" s="36">
        <v>48000</v>
      </c>
      <c r="G969" s="52">
        <v>50000</v>
      </c>
      <c r="H969" s="63">
        <f t="shared" ref="H969:I969" si="493">G969*6.3%+48000</f>
        <v>51150</v>
      </c>
      <c r="I969" s="63">
        <f t="shared" si="493"/>
        <v>51222.45</v>
      </c>
      <c r="J969" s="32"/>
      <c r="K969" s="32"/>
    </row>
    <row r="970" spans="1:11">
      <c r="A970" s="36"/>
      <c r="B970" s="17"/>
      <c r="C970" s="18"/>
      <c r="D970" s="19"/>
      <c r="E970" s="19"/>
      <c r="F970" s="36"/>
      <c r="G970" s="48"/>
      <c r="H970" s="36"/>
      <c r="I970" s="36"/>
      <c r="J970" s="32"/>
      <c r="K970" s="32"/>
    </row>
    <row r="971" spans="1:11">
      <c r="A971" s="36"/>
      <c r="B971" s="17"/>
      <c r="C971" s="18"/>
      <c r="D971" s="19"/>
      <c r="E971" s="19"/>
      <c r="F971" s="36"/>
      <c r="G971" s="48"/>
      <c r="H971" s="36"/>
      <c r="I971" s="36"/>
      <c r="J971" s="32"/>
      <c r="K971" s="32"/>
    </row>
    <row r="972" spans="1:11">
      <c r="A972" s="49">
        <f>+A969+A966+A959</f>
        <v>301930</v>
      </c>
      <c r="B972" s="39" t="s">
        <v>46</v>
      </c>
      <c r="C972" s="18"/>
      <c r="D972" s="49">
        <f t="shared" ref="D972:E972" si="494">+D969+D966+D959</f>
        <v>43296.75</v>
      </c>
      <c r="E972" s="49">
        <f t="shared" si="494"/>
        <v>189402.72999999998</v>
      </c>
      <c r="F972" s="49">
        <f>+F969+F966+F959</f>
        <v>203142.21</v>
      </c>
      <c r="G972" s="48">
        <f t="shared" ref="G972:I972" si="495">+G969+G966+G959</f>
        <v>217832.81343000001</v>
      </c>
      <c r="H972" s="49">
        <f t="shared" si="495"/>
        <v>232715.00634468999</v>
      </c>
      <c r="I972" s="49">
        <f t="shared" si="495"/>
        <v>247646.95164349925</v>
      </c>
      <c r="J972" s="32"/>
      <c r="K972" s="32"/>
    </row>
    <row r="973" spans="1:11">
      <c r="A973" s="49">
        <f>+A948-A972</f>
        <v>-301930</v>
      </c>
      <c r="B973" s="44" t="str">
        <f>B60</f>
        <v>NETT AMOUNT</v>
      </c>
      <c r="C973" s="18"/>
      <c r="D973" s="49">
        <f t="shared" ref="D973:E973" si="496">+D948-D972</f>
        <v>-43296.75</v>
      </c>
      <c r="E973" s="49">
        <f t="shared" si="496"/>
        <v>-189402.72999999998</v>
      </c>
      <c r="F973" s="49">
        <f>+F948-F972</f>
        <v>-203142.21</v>
      </c>
      <c r="G973" s="48">
        <f t="shared" ref="G973:I973" si="497">+G948-G972</f>
        <v>-217832.81343000001</v>
      </c>
      <c r="H973" s="49">
        <f t="shared" si="497"/>
        <v>-232715.00634468999</v>
      </c>
      <c r="I973" s="49">
        <f t="shared" si="497"/>
        <v>-247646.95164349925</v>
      </c>
      <c r="J973" s="32"/>
      <c r="K973" s="32"/>
    </row>
    <row r="974" spans="1:11">
      <c r="A974" s="49"/>
      <c r="B974" s="44"/>
      <c r="C974" s="18"/>
      <c r="D974" s="19"/>
      <c r="E974" s="19"/>
      <c r="F974" s="49"/>
      <c r="G974" s="48"/>
      <c r="H974" s="49"/>
      <c r="I974" s="49"/>
      <c r="J974" s="32"/>
      <c r="K974" s="32"/>
    </row>
    <row r="975" spans="1:11">
      <c r="A975" s="51"/>
      <c r="B975" s="17"/>
      <c r="C975" s="17"/>
      <c r="D975" s="19"/>
      <c r="E975" s="19"/>
      <c r="F975" s="36"/>
      <c r="G975" s="48"/>
      <c r="H975" s="36"/>
      <c r="I975" s="36"/>
      <c r="J975" s="32"/>
      <c r="K975" s="32"/>
    </row>
    <row r="976" spans="1:11">
      <c r="A976" s="37" t="s">
        <v>72</v>
      </c>
      <c r="B976" s="17"/>
      <c r="C976" s="18"/>
      <c r="D976" s="18" t="s">
        <v>469</v>
      </c>
      <c r="E976" s="18" t="s">
        <v>473</v>
      </c>
      <c r="F976" s="18" t="s">
        <v>73</v>
      </c>
      <c r="G976" s="24" t="s">
        <v>73</v>
      </c>
      <c r="H976" s="22" t="s">
        <v>651</v>
      </c>
      <c r="I976" s="22" t="s">
        <v>651</v>
      </c>
      <c r="J976" s="32"/>
      <c r="K976" s="32"/>
    </row>
    <row r="977" spans="1:11">
      <c r="A977" s="37" t="s">
        <v>10</v>
      </c>
      <c r="B977" s="29" t="s">
        <v>258</v>
      </c>
      <c r="C977" s="18" t="str">
        <f>C2</f>
        <v>ABAKUS</v>
      </c>
      <c r="D977" s="18" t="s">
        <v>470</v>
      </c>
      <c r="E977" s="18" t="s">
        <v>10</v>
      </c>
      <c r="F977" s="18" t="s">
        <v>11</v>
      </c>
      <c r="G977" s="24" t="s">
        <v>498</v>
      </c>
      <c r="H977" s="22" t="s">
        <v>500</v>
      </c>
      <c r="I977" s="22" t="s">
        <v>498</v>
      </c>
      <c r="J977" s="32"/>
      <c r="K977" s="32"/>
    </row>
    <row r="978" spans="1:11">
      <c r="A978" s="37" t="s">
        <v>13</v>
      </c>
      <c r="B978" s="17"/>
      <c r="C978" s="18" t="str">
        <f>C3</f>
        <v>VOTES</v>
      </c>
      <c r="D978" s="18" t="s">
        <v>14</v>
      </c>
      <c r="E978" s="18" t="s">
        <v>14</v>
      </c>
      <c r="F978" s="18" t="s">
        <v>14</v>
      </c>
      <c r="G978" s="24" t="s">
        <v>15</v>
      </c>
      <c r="H978" s="22" t="s">
        <v>272</v>
      </c>
      <c r="I978" s="22" t="s">
        <v>285</v>
      </c>
      <c r="J978" s="32"/>
      <c r="K978" s="32"/>
    </row>
    <row r="979" spans="1:11">
      <c r="A979" s="36"/>
      <c r="B979" s="18" t="s">
        <v>259</v>
      </c>
      <c r="C979" s="18"/>
      <c r="D979" s="19"/>
      <c r="E979" s="19"/>
      <c r="F979" s="36"/>
      <c r="G979" s="48"/>
      <c r="H979" s="36"/>
      <c r="I979" s="36"/>
      <c r="J979" s="32"/>
      <c r="K979" s="32"/>
    </row>
    <row r="980" spans="1:11">
      <c r="A980" s="36"/>
      <c r="B980" s="17"/>
      <c r="C980" s="18"/>
      <c r="D980" s="19"/>
      <c r="E980" s="19"/>
      <c r="F980" s="36"/>
      <c r="G980" s="48"/>
      <c r="H980" s="36"/>
      <c r="I980" s="36"/>
      <c r="J980" s="32"/>
      <c r="K980" s="32"/>
    </row>
    <row r="981" spans="1:11">
      <c r="A981" s="65"/>
      <c r="B981" s="29" t="s">
        <v>16</v>
      </c>
      <c r="C981" s="29"/>
      <c r="D981" s="40"/>
      <c r="E981" s="40"/>
      <c r="F981" s="36"/>
      <c r="G981" s="48"/>
      <c r="H981" s="36"/>
      <c r="I981" s="36"/>
      <c r="J981" s="32"/>
      <c r="K981" s="32"/>
    </row>
    <row r="982" spans="1:11">
      <c r="A982" s="66"/>
      <c r="B982" s="29"/>
      <c r="C982" s="29"/>
      <c r="D982" s="40"/>
      <c r="E982" s="40"/>
      <c r="F982" s="36"/>
      <c r="G982" s="48"/>
      <c r="H982" s="36"/>
      <c r="I982" s="36"/>
      <c r="J982" s="32"/>
      <c r="K982" s="32"/>
    </row>
    <row r="983" spans="1:11">
      <c r="A983" s="51">
        <v>30000</v>
      </c>
      <c r="B983" s="17" t="s">
        <v>260</v>
      </c>
      <c r="C983" s="18">
        <v>5290</v>
      </c>
      <c r="D983" s="19">
        <v>0</v>
      </c>
      <c r="E983" s="19">
        <v>0</v>
      </c>
      <c r="F983" s="63">
        <v>0</v>
      </c>
      <c r="G983" s="52">
        <f t="shared" ref="G983:I984" si="498">+F983*0.1+F983</f>
        <v>0</v>
      </c>
      <c r="H983" s="63">
        <f t="shared" si="498"/>
        <v>0</v>
      </c>
      <c r="I983" s="63">
        <f t="shared" si="498"/>
        <v>0</v>
      </c>
      <c r="J983" s="32"/>
      <c r="K983" s="32"/>
    </row>
    <row r="984" spans="1:11">
      <c r="A984" s="51">
        <v>462310</v>
      </c>
      <c r="B984" s="17" t="s">
        <v>51</v>
      </c>
      <c r="C984" s="18">
        <v>5270</v>
      </c>
      <c r="D984" s="19">
        <v>149736</v>
      </c>
      <c r="E984" s="19">
        <f>F984</f>
        <v>500000</v>
      </c>
      <c r="F984" s="51">
        <v>500000</v>
      </c>
      <c r="G984" s="52">
        <f>+F984*0.1+F984-100000</f>
        <v>450000</v>
      </c>
      <c r="H984" s="63">
        <f t="shared" si="498"/>
        <v>495000</v>
      </c>
      <c r="I984" s="63">
        <f t="shared" si="498"/>
        <v>544500</v>
      </c>
      <c r="J984" s="32"/>
      <c r="K984" s="32"/>
    </row>
    <row r="985" spans="1:11">
      <c r="A985" s="36">
        <f>SUM(A983:A984)</f>
        <v>492310</v>
      </c>
      <c r="B985" s="17"/>
      <c r="C985" s="18"/>
      <c r="D985" s="36">
        <f>SUM(D983:D984)</f>
        <v>149736</v>
      </c>
      <c r="E985" s="36">
        <f>SUM(E983:E984)</f>
        <v>500000</v>
      </c>
      <c r="F985" s="36">
        <f>SUM(F983:F984)</f>
        <v>500000</v>
      </c>
      <c r="G985" s="48">
        <f t="shared" ref="G985:I985" si="499">SUM(G983:G984)</f>
        <v>450000</v>
      </c>
      <c r="H985" s="36">
        <f t="shared" si="499"/>
        <v>495000</v>
      </c>
      <c r="I985" s="36">
        <f t="shared" si="499"/>
        <v>544500</v>
      </c>
      <c r="J985" s="32"/>
      <c r="K985" s="32"/>
    </row>
    <row r="986" spans="1:11">
      <c r="A986" s="36"/>
      <c r="B986" s="29" t="s">
        <v>22</v>
      </c>
      <c r="C986" s="18"/>
      <c r="D986" s="19"/>
      <c r="E986" s="19"/>
      <c r="F986" s="36"/>
      <c r="G986" s="48"/>
      <c r="H986" s="36"/>
      <c r="I986" s="36"/>
      <c r="J986" s="32"/>
      <c r="K986" s="32"/>
    </row>
    <row r="987" spans="1:11">
      <c r="A987" s="65"/>
      <c r="B987" s="39" t="s">
        <v>23</v>
      </c>
      <c r="C987" s="29"/>
      <c r="D987" s="40"/>
      <c r="E987" s="40"/>
      <c r="F987" s="36"/>
      <c r="G987" s="48"/>
      <c r="H987" s="36"/>
      <c r="I987" s="36"/>
      <c r="J987" s="32"/>
      <c r="K987" s="32"/>
    </row>
    <row r="988" spans="1:11">
      <c r="A988" s="51">
        <v>62855</v>
      </c>
      <c r="B988" s="17" t="s">
        <v>81</v>
      </c>
      <c r="C988" s="57">
        <v>6010</v>
      </c>
      <c r="D988" s="19">
        <v>0</v>
      </c>
      <c r="E988" s="19">
        <v>0</v>
      </c>
      <c r="F988" s="51">
        <v>125710</v>
      </c>
      <c r="G988" s="52">
        <f>F988*8.3%+F988</f>
        <v>136143.93</v>
      </c>
      <c r="H988" s="51">
        <f>G988*8.3%+G988</f>
        <v>147443.87618999998</v>
      </c>
      <c r="I988" s="51">
        <f>H988*8.3%+H988</f>
        <v>159681.71791376997</v>
      </c>
      <c r="J988" s="32"/>
      <c r="K988" s="32"/>
    </row>
    <row r="989" spans="1:11">
      <c r="A989" s="51">
        <v>14310</v>
      </c>
      <c r="B989" s="17" t="s">
        <v>55</v>
      </c>
      <c r="C989" s="57">
        <v>6030</v>
      </c>
      <c r="D989" s="19">
        <v>0</v>
      </c>
      <c r="E989" s="19">
        <v>0</v>
      </c>
      <c r="F989" s="51">
        <v>28620</v>
      </c>
      <c r="G989" s="52">
        <f t="shared" ref="G989:I989" si="500">F989*8.3%+F989</f>
        <v>30995.46</v>
      </c>
      <c r="H989" s="51">
        <f t="shared" si="500"/>
        <v>33568.083180000001</v>
      </c>
      <c r="I989" s="51">
        <f t="shared" si="500"/>
        <v>36354.234083939999</v>
      </c>
      <c r="J989" s="32"/>
      <c r="K989" s="32"/>
    </row>
    <row r="990" spans="1:11">
      <c r="A990" s="51">
        <v>10445</v>
      </c>
      <c r="B990" s="17" t="s">
        <v>115</v>
      </c>
      <c r="C990" s="57">
        <v>6050</v>
      </c>
      <c r="D990" s="19">
        <v>0</v>
      </c>
      <c r="E990" s="19">
        <v>0</v>
      </c>
      <c r="F990" s="51">
        <v>20890</v>
      </c>
      <c r="G990" s="52">
        <f t="shared" ref="G990:I990" si="501">F990*8.3%+F990</f>
        <v>22623.87</v>
      </c>
      <c r="H990" s="51">
        <f t="shared" si="501"/>
        <v>24501.65121</v>
      </c>
      <c r="I990" s="51">
        <f t="shared" si="501"/>
        <v>26535.288260429999</v>
      </c>
      <c r="J990" s="32"/>
      <c r="K990" s="32"/>
    </row>
    <row r="991" spans="1:11">
      <c r="A991" s="51">
        <f t="shared" ref="A991:A996" si="502">+F991/2</f>
        <v>0</v>
      </c>
      <c r="B991" s="17" t="s">
        <v>58</v>
      </c>
      <c r="C991" s="57">
        <v>6080</v>
      </c>
      <c r="D991" s="19">
        <v>0</v>
      </c>
      <c r="E991" s="19">
        <v>0</v>
      </c>
      <c r="F991" s="63">
        <v>0</v>
      </c>
      <c r="G991" s="52">
        <f t="shared" ref="G991:I991" si="503">F991*8.3%+F991</f>
        <v>0</v>
      </c>
      <c r="H991" s="51">
        <f t="shared" si="503"/>
        <v>0</v>
      </c>
      <c r="I991" s="51">
        <f t="shared" si="503"/>
        <v>0</v>
      </c>
      <c r="J991" s="32"/>
      <c r="K991" s="32"/>
    </row>
    <row r="992" spans="1:11">
      <c r="A992" s="51"/>
      <c r="B992" s="17" t="s">
        <v>482</v>
      </c>
      <c r="C992" s="57">
        <v>6040</v>
      </c>
      <c r="D992" s="19">
        <v>0</v>
      </c>
      <c r="E992" s="19">
        <v>0</v>
      </c>
      <c r="F992" s="63"/>
      <c r="G992" s="52">
        <f t="shared" ref="G992:I992" si="504">F992*8.3%+F992</f>
        <v>0</v>
      </c>
      <c r="H992" s="51">
        <f t="shared" si="504"/>
        <v>0</v>
      </c>
      <c r="I992" s="51">
        <f t="shared" si="504"/>
        <v>0</v>
      </c>
      <c r="J992" s="32"/>
      <c r="K992" s="32"/>
    </row>
    <row r="993" spans="1:14">
      <c r="A993" s="51"/>
      <c r="B993" s="17" t="s">
        <v>483</v>
      </c>
      <c r="C993" s="57">
        <v>6070</v>
      </c>
      <c r="D993" s="19">
        <v>0</v>
      </c>
      <c r="E993" s="19">
        <v>0</v>
      </c>
      <c r="F993" s="63"/>
      <c r="G993" s="52">
        <f t="shared" ref="G993:I993" si="505">F993*8.3%+F993</f>
        <v>0</v>
      </c>
      <c r="H993" s="51">
        <f t="shared" si="505"/>
        <v>0</v>
      </c>
      <c r="I993" s="51">
        <f t="shared" si="505"/>
        <v>0</v>
      </c>
      <c r="J993" s="32"/>
      <c r="K993" s="32"/>
    </row>
    <row r="994" spans="1:14">
      <c r="A994" s="51">
        <f t="shared" si="502"/>
        <v>2750</v>
      </c>
      <c r="B994" s="17" t="s">
        <v>217</v>
      </c>
      <c r="C994" s="57">
        <v>6085</v>
      </c>
      <c r="D994" s="19">
        <v>0</v>
      </c>
      <c r="E994" s="19">
        <v>0</v>
      </c>
      <c r="F994" s="63">
        <v>5500</v>
      </c>
      <c r="G994" s="52">
        <f t="shared" ref="G994:I994" si="506">F994*8.3%+F994</f>
        <v>5956.5</v>
      </c>
      <c r="H994" s="51">
        <f t="shared" si="506"/>
        <v>6450.8895000000002</v>
      </c>
      <c r="I994" s="51">
        <f t="shared" si="506"/>
        <v>6986.3133285000004</v>
      </c>
      <c r="J994" s="67"/>
      <c r="K994" s="67"/>
      <c r="L994" s="68"/>
      <c r="M994" s="68"/>
      <c r="N994" s="68"/>
    </row>
    <row r="995" spans="1:14">
      <c r="A995" s="51">
        <f t="shared" si="502"/>
        <v>25</v>
      </c>
      <c r="B995" s="17" t="s">
        <v>86</v>
      </c>
      <c r="C995" s="57">
        <v>6088</v>
      </c>
      <c r="D995" s="19">
        <v>0</v>
      </c>
      <c r="E995" s="19">
        <v>0</v>
      </c>
      <c r="F995" s="63">
        <v>50</v>
      </c>
      <c r="G995" s="52">
        <f t="shared" ref="G995:I995" si="507">F995*8.3%+F995</f>
        <v>54.15</v>
      </c>
      <c r="H995" s="51">
        <f t="shared" si="507"/>
        <v>58.644449999999999</v>
      </c>
      <c r="I995" s="51">
        <f t="shared" si="507"/>
        <v>63.511939349999999</v>
      </c>
      <c r="J995" s="32"/>
      <c r="K995" s="32"/>
    </row>
    <row r="996" spans="1:14">
      <c r="A996" s="51">
        <f t="shared" si="502"/>
        <v>620</v>
      </c>
      <c r="B996" s="17" t="s">
        <v>0</v>
      </c>
      <c r="C996" s="57">
        <v>6087</v>
      </c>
      <c r="D996" s="19">
        <v>0</v>
      </c>
      <c r="E996" s="19">
        <v>0</v>
      </c>
      <c r="F996" s="63">
        <v>1240</v>
      </c>
      <c r="G996" s="52">
        <f t="shared" ref="G996:I996" si="508">F996*8.3%+F996</f>
        <v>1342.92</v>
      </c>
      <c r="H996" s="51">
        <f t="shared" si="508"/>
        <v>1454.3823600000001</v>
      </c>
      <c r="I996" s="51">
        <f t="shared" si="508"/>
        <v>1575.0960958800001</v>
      </c>
      <c r="J996" s="32"/>
      <c r="K996" s="32"/>
    </row>
    <row r="997" spans="1:14">
      <c r="A997" s="49">
        <f>SUM(A988:A996)</f>
        <v>91005</v>
      </c>
      <c r="B997" s="17"/>
      <c r="C997" s="18"/>
      <c r="D997" s="49">
        <f t="shared" ref="D997:E997" si="509">SUM(D988:D996)</f>
        <v>0</v>
      </c>
      <c r="E997" s="49">
        <f t="shared" si="509"/>
        <v>0</v>
      </c>
      <c r="F997" s="49">
        <f>SUM(F988:F996)</f>
        <v>182010</v>
      </c>
      <c r="G997" s="48">
        <f>SUM(G988:G996)</f>
        <v>197116.83</v>
      </c>
      <c r="H997" s="49">
        <f>SUM(H988:H996)</f>
        <v>213477.52688999998</v>
      </c>
      <c r="I997" s="49">
        <f>SUM(I988:I996)</f>
        <v>231196.16162186998</v>
      </c>
      <c r="J997" s="32"/>
      <c r="K997" s="32"/>
    </row>
    <row r="998" spans="1:14">
      <c r="A998" s="65"/>
      <c r="B998" s="39" t="s">
        <v>30</v>
      </c>
      <c r="C998" s="29"/>
      <c r="D998" s="40"/>
      <c r="E998" s="40"/>
      <c r="F998" s="36"/>
      <c r="G998" s="48"/>
      <c r="H998" s="36"/>
      <c r="I998" s="36"/>
      <c r="J998" s="32"/>
      <c r="K998" s="32"/>
    </row>
    <row r="999" spans="1:14">
      <c r="A999" s="51">
        <v>78800</v>
      </c>
      <c r="B999" s="17" t="s">
        <v>261</v>
      </c>
      <c r="C999" s="57">
        <v>6335</v>
      </c>
      <c r="D999" s="19">
        <v>0</v>
      </c>
      <c r="E999" s="19">
        <f>+F999/2</f>
        <v>39400</v>
      </c>
      <c r="F999" s="51">
        <v>78800</v>
      </c>
      <c r="G999" s="52">
        <v>100000</v>
      </c>
      <c r="H999" s="51">
        <f>+G999*6.3/100+G999</f>
        <v>106300</v>
      </c>
      <c r="I999" s="51">
        <f>+H999*6.3/100+H999</f>
        <v>112996.9</v>
      </c>
      <c r="J999" s="32"/>
      <c r="K999" s="32"/>
    </row>
    <row r="1000" spans="1:14">
      <c r="A1000" s="51">
        <v>40000</v>
      </c>
      <c r="B1000" s="17" t="s">
        <v>90</v>
      </c>
      <c r="C1000" s="57">
        <v>6540</v>
      </c>
      <c r="D1000" s="19">
        <v>21100.76</v>
      </c>
      <c r="E1000" s="19">
        <f>+D1000</f>
        <v>21100.76</v>
      </c>
      <c r="F1000" s="51">
        <v>40000</v>
      </c>
      <c r="G1000" s="52">
        <f t="shared" ref="G1000" si="510">F1000*6.3%+F1000</f>
        <v>42520</v>
      </c>
      <c r="H1000" s="51">
        <f t="shared" ref="H1000:I1000" si="511">+G1000*6.3/100+G1000</f>
        <v>45198.76</v>
      </c>
      <c r="I1000" s="51">
        <f t="shared" si="511"/>
        <v>48046.281880000002</v>
      </c>
      <c r="J1000" s="32"/>
      <c r="K1000" s="32"/>
    </row>
    <row r="1001" spans="1:14">
      <c r="A1001" s="51">
        <v>2050</v>
      </c>
      <c r="B1001" s="17" t="s">
        <v>33</v>
      </c>
      <c r="C1001" s="57">
        <v>6570</v>
      </c>
      <c r="D1001" s="19">
        <v>0</v>
      </c>
      <c r="E1001" s="19">
        <v>0</v>
      </c>
      <c r="F1001" s="51">
        <v>2050</v>
      </c>
      <c r="G1001" s="52">
        <v>0</v>
      </c>
      <c r="H1001" s="51">
        <f t="shared" ref="H1001:I1001" si="512">+G1001*6.3/100+G1001</f>
        <v>0</v>
      </c>
      <c r="I1001" s="51">
        <f t="shared" si="512"/>
        <v>0</v>
      </c>
      <c r="J1001" s="32"/>
      <c r="K1001" s="32"/>
    </row>
    <row r="1002" spans="1:14">
      <c r="A1002" s="51">
        <v>1250</v>
      </c>
      <c r="B1002" s="17" t="s">
        <v>62</v>
      </c>
      <c r="C1002" s="57">
        <v>6690</v>
      </c>
      <c r="D1002" s="19">
        <v>0</v>
      </c>
      <c r="E1002" s="19">
        <v>0</v>
      </c>
      <c r="F1002" s="63">
        <v>1250</v>
      </c>
      <c r="G1002" s="52">
        <v>0</v>
      </c>
      <c r="H1002" s="51">
        <f t="shared" ref="H1002:I1002" si="513">+G1002*6.3/100+G1002</f>
        <v>0</v>
      </c>
      <c r="I1002" s="51">
        <f t="shared" si="513"/>
        <v>0</v>
      </c>
      <c r="J1002" s="32"/>
      <c r="K1002" s="32"/>
    </row>
    <row r="1003" spans="1:14">
      <c r="A1003" s="51">
        <v>4000</v>
      </c>
      <c r="B1003" s="17" t="s">
        <v>39</v>
      </c>
      <c r="C1003" s="57">
        <v>6990</v>
      </c>
      <c r="D1003" s="19">
        <v>0</v>
      </c>
      <c r="E1003" s="19">
        <v>0</v>
      </c>
      <c r="F1003" s="63">
        <v>4000</v>
      </c>
      <c r="G1003" s="52">
        <v>0</v>
      </c>
      <c r="H1003" s="51">
        <f t="shared" ref="H1003:I1003" si="514">+G1003*6.3/100+G1003</f>
        <v>0</v>
      </c>
      <c r="I1003" s="51">
        <f t="shared" si="514"/>
        <v>0</v>
      </c>
      <c r="J1003" s="32"/>
      <c r="K1003" s="32"/>
    </row>
    <row r="1004" spans="1:14">
      <c r="A1004" s="51">
        <v>30000</v>
      </c>
      <c r="B1004" s="17" t="s">
        <v>262</v>
      </c>
      <c r="C1004" s="57">
        <v>7040</v>
      </c>
      <c r="D1004" s="19">
        <v>0</v>
      </c>
      <c r="E1004" s="19">
        <v>0</v>
      </c>
      <c r="F1004" s="63">
        <v>30000</v>
      </c>
      <c r="G1004" s="52">
        <f>F1004</f>
        <v>30000</v>
      </c>
      <c r="H1004" s="51">
        <f t="shared" ref="H1004:I1004" si="515">+G1004*6.3/100+G1004</f>
        <v>31890</v>
      </c>
      <c r="I1004" s="51">
        <f t="shared" si="515"/>
        <v>33899.07</v>
      </c>
      <c r="J1004" s="32"/>
      <c r="K1004" s="32"/>
    </row>
    <row r="1005" spans="1:14">
      <c r="A1005" s="51">
        <v>2400</v>
      </c>
      <c r="B1005" s="17" t="s">
        <v>65</v>
      </c>
      <c r="C1005" s="57">
        <v>7081</v>
      </c>
      <c r="D1005" s="19">
        <v>0</v>
      </c>
      <c r="E1005" s="19">
        <v>0</v>
      </c>
      <c r="F1005" s="63">
        <v>2400</v>
      </c>
      <c r="G1005" s="52">
        <v>0</v>
      </c>
      <c r="H1005" s="51">
        <f t="shared" ref="H1005:I1005" si="516">+G1005*6.3/100+G1005</f>
        <v>0</v>
      </c>
      <c r="I1005" s="51">
        <f t="shared" si="516"/>
        <v>0</v>
      </c>
      <c r="J1005" s="32"/>
      <c r="K1005" s="32"/>
    </row>
    <row r="1006" spans="1:14">
      <c r="A1006" s="49">
        <f>SUM(A999:A1005)</f>
        <v>158500</v>
      </c>
      <c r="B1006" s="17"/>
      <c r="C1006" s="18"/>
      <c r="D1006" s="49">
        <f t="shared" ref="D1006:I1006" si="517">SUM(D999:D1005)</f>
        <v>21100.76</v>
      </c>
      <c r="E1006" s="49">
        <f t="shared" si="517"/>
        <v>60500.759999999995</v>
      </c>
      <c r="F1006" s="49">
        <f t="shared" si="517"/>
        <v>158500</v>
      </c>
      <c r="G1006" s="48">
        <f t="shared" si="517"/>
        <v>172520</v>
      </c>
      <c r="H1006" s="49">
        <f t="shared" si="517"/>
        <v>183388.76</v>
      </c>
      <c r="I1006" s="49">
        <f t="shared" si="517"/>
        <v>194942.25188</v>
      </c>
      <c r="J1006" s="32"/>
      <c r="K1006" s="32"/>
    </row>
    <row r="1007" spans="1:14">
      <c r="A1007" s="65"/>
      <c r="B1007" s="17"/>
      <c r="C1007" s="29"/>
      <c r="D1007" s="40"/>
      <c r="E1007" s="40"/>
      <c r="F1007" s="36"/>
      <c r="G1007" s="48"/>
      <c r="H1007" s="36"/>
      <c r="I1007" s="36"/>
      <c r="J1007" s="32"/>
      <c r="K1007" s="32"/>
    </row>
    <row r="1008" spans="1:14">
      <c r="A1008" s="36"/>
      <c r="B1008" s="39" t="s">
        <v>69</v>
      </c>
      <c r="C1008" s="18"/>
      <c r="D1008" s="19"/>
      <c r="E1008" s="19"/>
      <c r="F1008" s="36"/>
      <c r="G1008" s="48"/>
      <c r="H1008" s="36"/>
      <c r="I1008" s="36"/>
      <c r="J1008" s="32"/>
      <c r="K1008" s="32"/>
    </row>
    <row r="1009" spans="1:11">
      <c r="A1009" s="51"/>
      <c r="B1009" s="17" t="s">
        <v>103</v>
      </c>
      <c r="C1009" s="18">
        <v>7210</v>
      </c>
      <c r="D1009" s="19">
        <v>0</v>
      </c>
      <c r="E1009" s="19">
        <v>0</v>
      </c>
      <c r="F1009" s="49">
        <v>0</v>
      </c>
      <c r="G1009" s="48">
        <v>0</v>
      </c>
      <c r="H1009" s="49">
        <v>0</v>
      </c>
      <c r="I1009" s="49">
        <v>0</v>
      </c>
      <c r="J1009" s="32"/>
      <c r="K1009" s="32"/>
    </row>
    <row r="1010" spans="1:11">
      <c r="A1010" s="51"/>
      <c r="B1010" s="17"/>
      <c r="C1010" s="18"/>
      <c r="D1010" s="19"/>
      <c r="E1010" s="19"/>
      <c r="F1010" s="36">
        <f>SUM(F1008:F1009)</f>
        <v>0</v>
      </c>
      <c r="G1010" s="48">
        <f t="shared" ref="G1010:I1010" si="518">SUM(G1008:G1009)</f>
        <v>0</v>
      </c>
      <c r="H1010" s="36">
        <f t="shared" si="518"/>
        <v>0</v>
      </c>
      <c r="I1010" s="36">
        <f t="shared" si="518"/>
        <v>0</v>
      </c>
      <c r="J1010" s="32"/>
      <c r="K1010" s="32"/>
    </row>
    <row r="1011" spans="1:11">
      <c r="A1011" s="51"/>
      <c r="B1011" s="17"/>
      <c r="C1011" s="18"/>
      <c r="D1011" s="19"/>
      <c r="E1011" s="19"/>
      <c r="F1011" s="36"/>
      <c r="G1011" s="48"/>
      <c r="H1011" s="36"/>
      <c r="I1011" s="36"/>
      <c r="J1011" s="32"/>
      <c r="K1011" s="32"/>
    </row>
    <row r="1012" spans="1:11">
      <c r="A1012" s="51"/>
      <c r="B1012" s="39" t="s">
        <v>67</v>
      </c>
      <c r="C1012" s="18"/>
      <c r="D1012" s="19"/>
      <c r="E1012" s="19"/>
      <c r="F1012" s="36"/>
      <c r="G1012" s="48"/>
      <c r="H1012" s="36"/>
      <c r="I1012" s="36"/>
      <c r="J1012" s="32"/>
      <c r="K1012" s="32"/>
    </row>
    <row r="1013" spans="1:11">
      <c r="A1013" s="51">
        <v>124300</v>
      </c>
      <c r="B1013" s="17" t="s">
        <v>45</v>
      </c>
      <c r="C1013" s="18">
        <v>7800</v>
      </c>
      <c r="D1013" s="19">
        <v>37623.64</v>
      </c>
      <c r="E1013" s="19">
        <f>F1013</f>
        <v>112871</v>
      </c>
      <c r="F1013" s="36">
        <v>112871</v>
      </c>
      <c r="G1013" s="52">
        <v>0</v>
      </c>
      <c r="H1013" s="51">
        <f>+F1013*0.1+F1013</f>
        <v>124158.1</v>
      </c>
      <c r="I1013" s="51">
        <f>+G1013*0.1+G1013</f>
        <v>0</v>
      </c>
      <c r="J1013" s="32"/>
      <c r="K1013" s="32"/>
    </row>
    <row r="1014" spans="1:11">
      <c r="A1014" s="36"/>
      <c r="B1014" s="17"/>
      <c r="C1014" s="18"/>
      <c r="D1014" s="19"/>
      <c r="E1014" s="19"/>
      <c r="F1014" s="36"/>
      <c r="G1014" s="48"/>
      <c r="H1014" s="36"/>
      <c r="I1014" s="36"/>
      <c r="J1014" s="32"/>
      <c r="K1014" s="32"/>
    </row>
    <row r="1015" spans="1:11">
      <c r="A1015" s="36"/>
      <c r="B1015" s="17"/>
      <c r="C1015" s="18"/>
      <c r="D1015" s="19"/>
      <c r="E1015" s="19"/>
      <c r="F1015" s="36"/>
      <c r="G1015" s="48"/>
      <c r="H1015" s="36"/>
      <c r="I1015" s="36"/>
      <c r="J1015" s="32"/>
      <c r="K1015" s="32"/>
    </row>
    <row r="1016" spans="1:11">
      <c r="A1016" s="49">
        <f>+A1013+A1010+A1006+A997</f>
        <v>373805</v>
      </c>
      <c r="B1016" s="39" t="s">
        <v>46</v>
      </c>
      <c r="C1016" s="18"/>
      <c r="D1016" s="49">
        <f t="shared" ref="D1016:I1016" si="519">+D1013+D1010+D1006+D997</f>
        <v>58724.399999999994</v>
      </c>
      <c r="E1016" s="49">
        <f t="shared" si="519"/>
        <v>173371.76</v>
      </c>
      <c r="F1016" s="49">
        <f t="shared" si="519"/>
        <v>453381</v>
      </c>
      <c r="G1016" s="48">
        <f t="shared" si="519"/>
        <v>369636.82999999996</v>
      </c>
      <c r="H1016" s="49">
        <f t="shared" si="519"/>
        <v>521024.38688999997</v>
      </c>
      <c r="I1016" s="49">
        <f t="shared" si="519"/>
        <v>426138.41350187</v>
      </c>
      <c r="J1016" s="32"/>
      <c r="K1016" s="32"/>
    </row>
    <row r="1017" spans="1:11">
      <c r="A1017" s="49">
        <f>+A985-A1016</f>
        <v>118505</v>
      </c>
      <c r="B1017" s="44" t="str">
        <f>B60</f>
        <v>NETT AMOUNT</v>
      </c>
      <c r="C1017" s="18"/>
      <c r="D1017" s="49">
        <f t="shared" ref="D1017:I1017" si="520">+D985-D1016</f>
        <v>91011.6</v>
      </c>
      <c r="E1017" s="49">
        <f t="shared" si="520"/>
        <v>326628.24</v>
      </c>
      <c r="F1017" s="49">
        <f t="shared" si="520"/>
        <v>46619</v>
      </c>
      <c r="G1017" s="48">
        <f t="shared" si="520"/>
        <v>80363.170000000042</v>
      </c>
      <c r="H1017" s="49">
        <f t="shared" si="520"/>
        <v>-26024.386889999965</v>
      </c>
      <c r="I1017" s="49">
        <f t="shared" si="520"/>
        <v>118361.58649813</v>
      </c>
      <c r="J1017" s="32"/>
      <c r="K1017" s="32"/>
    </row>
    <row r="1018" spans="1:11">
      <c r="A1018" s="51"/>
      <c r="B1018" s="17"/>
      <c r="C1018" s="17"/>
      <c r="D1018" s="19"/>
      <c r="E1018" s="19"/>
      <c r="F1018" s="36"/>
      <c r="G1018" s="48"/>
      <c r="H1018" s="36"/>
      <c r="I1018" s="36"/>
      <c r="J1018" s="32"/>
      <c r="K1018" s="32"/>
    </row>
    <row r="1019" spans="1:11">
      <c r="A1019" s="51"/>
      <c r="B1019" s="17"/>
      <c r="C1019" s="17"/>
      <c r="D1019" s="19"/>
      <c r="E1019" s="19"/>
      <c r="F1019" s="36"/>
      <c r="G1019" s="48"/>
      <c r="H1019" s="36"/>
      <c r="I1019" s="36"/>
      <c r="J1019" s="32"/>
      <c r="K1019" s="32"/>
    </row>
    <row r="1020" spans="1:11">
      <c r="A1020" s="37" t="s">
        <v>72</v>
      </c>
      <c r="B1020" s="17"/>
      <c r="C1020" s="18"/>
      <c r="D1020" s="18" t="s">
        <v>469</v>
      </c>
      <c r="E1020" s="18" t="s">
        <v>473</v>
      </c>
      <c r="F1020" s="18" t="s">
        <v>73</v>
      </c>
      <c r="G1020" s="24" t="s">
        <v>73</v>
      </c>
      <c r="H1020" s="22" t="s">
        <v>651</v>
      </c>
      <c r="I1020" s="22" t="s">
        <v>651</v>
      </c>
      <c r="J1020" s="32"/>
      <c r="K1020" s="32"/>
    </row>
    <row r="1021" spans="1:11">
      <c r="A1021" s="37" t="s">
        <v>10</v>
      </c>
      <c r="B1021" s="17"/>
      <c r="C1021" s="18" t="str">
        <f>C2</f>
        <v>ABAKUS</v>
      </c>
      <c r="D1021" s="18" t="s">
        <v>470</v>
      </c>
      <c r="E1021" s="18" t="s">
        <v>10</v>
      </c>
      <c r="F1021" s="18" t="s">
        <v>11</v>
      </c>
      <c r="G1021" s="24" t="s">
        <v>498</v>
      </c>
      <c r="H1021" s="22" t="s">
        <v>500</v>
      </c>
      <c r="I1021" s="22" t="s">
        <v>498</v>
      </c>
      <c r="J1021" s="32"/>
      <c r="K1021" s="32"/>
    </row>
    <row r="1022" spans="1:11">
      <c r="A1022" s="37" t="s">
        <v>13</v>
      </c>
      <c r="B1022" s="29" t="s">
        <v>263</v>
      </c>
      <c r="C1022" s="18" t="str">
        <f>C3</f>
        <v>VOTES</v>
      </c>
      <c r="D1022" s="18" t="s">
        <v>14</v>
      </c>
      <c r="E1022" s="18" t="s">
        <v>14</v>
      </c>
      <c r="F1022" s="18" t="s">
        <v>14</v>
      </c>
      <c r="G1022" s="24" t="s">
        <v>15</v>
      </c>
      <c r="H1022" s="22" t="s">
        <v>272</v>
      </c>
      <c r="I1022" s="22" t="s">
        <v>285</v>
      </c>
      <c r="J1022" s="32"/>
      <c r="K1022" s="32"/>
    </row>
    <row r="1023" spans="1:11">
      <c r="A1023" s="36"/>
      <c r="B1023" s="18" t="s">
        <v>264</v>
      </c>
      <c r="C1023" s="18"/>
      <c r="D1023" s="19"/>
      <c r="E1023" s="19"/>
      <c r="F1023" s="36"/>
      <c r="G1023" s="48"/>
      <c r="H1023" s="36"/>
      <c r="I1023" s="36"/>
      <c r="J1023" s="32"/>
      <c r="K1023" s="32"/>
    </row>
    <row r="1024" spans="1:11">
      <c r="A1024" s="36"/>
      <c r="B1024" s="17"/>
      <c r="C1024" s="18"/>
      <c r="D1024" s="19"/>
      <c r="E1024" s="19"/>
      <c r="F1024" s="36"/>
      <c r="G1024" s="48"/>
      <c r="H1024" s="36"/>
      <c r="I1024" s="36"/>
      <c r="J1024" s="32"/>
      <c r="K1024" s="32"/>
    </row>
    <row r="1025" spans="1:11">
      <c r="A1025" s="65"/>
      <c r="B1025" s="29" t="s">
        <v>16</v>
      </c>
      <c r="C1025" s="29"/>
      <c r="D1025" s="40"/>
      <c r="E1025" s="40"/>
      <c r="F1025" s="36"/>
      <c r="G1025" s="48"/>
      <c r="H1025" s="36"/>
      <c r="I1025" s="36"/>
      <c r="J1025" s="32"/>
      <c r="K1025" s="32"/>
    </row>
    <row r="1026" spans="1:11">
      <c r="A1026" s="51">
        <v>922250</v>
      </c>
      <c r="B1026" s="33" t="s">
        <v>265</v>
      </c>
      <c r="C1026" s="57">
        <v>5120</v>
      </c>
      <c r="D1026" s="19">
        <v>497272.35</v>
      </c>
      <c r="E1026" s="19">
        <f>F1026</f>
        <v>1023697.5</v>
      </c>
      <c r="F1026" s="51">
        <f>+A1026*0.11+A1026</f>
        <v>1023697.5</v>
      </c>
      <c r="G1026" s="52">
        <f>+E1026*0.1+E1026</f>
        <v>1126067.25</v>
      </c>
      <c r="H1026" s="51">
        <f>+F1026*0.11+F1026</f>
        <v>1136304.2250000001</v>
      </c>
      <c r="I1026" s="51">
        <f>+G1026*0.11+G1026</f>
        <v>1249934.6475</v>
      </c>
      <c r="J1026" s="32"/>
      <c r="K1026" s="32"/>
    </row>
    <row r="1027" spans="1:11">
      <c r="A1027" s="51">
        <v>52500</v>
      </c>
      <c r="B1027" s="33" t="s">
        <v>266</v>
      </c>
      <c r="C1027" s="57">
        <v>5275</v>
      </c>
      <c r="D1027" s="19">
        <v>0</v>
      </c>
      <c r="E1027" s="19">
        <f>+F1027</f>
        <v>57750</v>
      </c>
      <c r="F1027" s="51">
        <f>+A1027*0.1+A1027</f>
        <v>57750</v>
      </c>
      <c r="G1027" s="52">
        <f t="shared" ref="G1027:I1028" si="521">+F1027*0.1+F1027</f>
        <v>63525</v>
      </c>
      <c r="H1027" s="51">
        <f t="shared" si="521"/>
        <v>69877.5</v>
      </c>
      <c r="I1027" s="51">
        <f t="shared" si="521"/>
        <v>76865.25</v>
      </c>
      <c r="J1027" s="32"/>
      <c r="K1027" s="32"/>
    </row>
    <row r="1028" spans="1:11">
      <c r="A1028" s="51">
        <v>1759500</v>
      </c>
      <c r="B1028" s="33" t="s">
        <v>267</v>
      </c>
      <c r="C1028" s="57">
        <v>5270</v>
      </c>
      <c r="D1028" s="19">
        <v>57750</v>
      </c>
      <c r="E1028" s="19">
        <f>+F1028</f>
        <v>2445110</v>
      </c>
      <c r="F1028" s="51">
        <f>2145110+300000</f>
        <v>2445110</v>
      </c>
      <c r="G1028" s="52">
        <f>+F1028*0.1+F1028+400000-200000-200000-100000-37632</f>
        <v>2551989</v>
      </c>
      <c r="H1028" s="51">
        <f t="shared" si="521"/>
        <v>2807187.9</v>
      </c>
      <c r="I1028" s="51">
        <f t="shared" si="521"/>
        <v>3087906.69</v>
      </c>
      <c r="J1028" s="32"/>
      <c r="K1028" s="32"/>
    </row>
    <row r="1029" spans="1:11">
      <c r="A1029" s="51"/>
      <c r="B1029" s="33" t="s">
        <v>268</v>
      </c>
      <c r="C1029" s="57">
        <v>5005</v>
      </c>
      <c r="D1029" s="19">
        <v>0</v>
      </c>
      <c r="E1029" s="19">
        <v>0</v>
      </c>
      <c r="F1029" s="63">
        <v>0</v>
      </c>
      <c r="G1029" s="52">
        <v>0</v>
      </c>
      <c r="H1029" s="63">
        <v>0</v>
      </c>
      <c r="I1029" s="63">
        <v>0</v>
      </c>
      <c r="J1029" s="32"/>
      <c r="K1029" s="32"/>
    </row>
    <row r="1030" spans="1:11">
      <c r="A1030" s="51"/>
      <c r="B1030" s="17"/>
      <c r="C1030" s="57"/>
      <c r="D1030" s="19"/>
      <c r="E1030" s="19"/>
      <c r="F1030" s="51"/>
      <c r="G1030" s="52"/>
      <c r="H1030" s="51"/>
      <c r="I1030" s="51"/>
      <c r="J1030" s="32"/>
      <c r="K1030" s="32"/>
    </row>
    <row r="1031" spans="1:11">
      <c r="A1031" s="49">
        <f>SUM(A1026:A1030)</f>
        <v>2734250</v>
      </c>
      <c r="B1031" s="17"/>
      <c r="C1031" s="18"/>
      <c r="D1031" s="49">
        <f t="shared" ref="D1031:I1031" si="522">SUM(D1026:D1030)</f>
        <v>555022.35</v>
      </c>
      <c r="E1031" s="49">
        <f t="shared" si="522"/>
        <v>3526557.5</v>
      </c>
      <c r="F1031" s="49">
        <f t="shared" si="522"/>
        <v>3526557.5</v>
      </c>
      <c r="G1031" s="48">
        <f t="shared" si="522"/>
        <v>3741581.25</v>
      </c>
      <c r="H1031" s="49">
        <f t="shared" si="522"/>
        <v>4013369.625</v>
      </c>
      <c r="I1031" s="49">
        <f t="shared" si="522"/>
        <v>4414706.5875000004</v>
      </c>
      <c r="J1031" s="32"/>
      <c r="K1031" s="32"/>
    </row>
    <row r="1032" spans="1:11">
      <c r="A1032" s="36"/>
      <c r="B1032" s="29" t="s">
        <v>22</v>
      </c>
      <c r="C1032" s="18"/>
      <c r="D1032" s="19"/>
      <c r="E1032" s="19"/>
      <c r="F1032" s="36"/>
      <c r="G1032" s="48"/>
      <c r="H1032" s="36"/>
      <c r="I1032" s="36"/>
      <c r="J1032" s="32"/>
      <c r="K1032" s="32"/>
    </row>
    <row r="1033" spans="1:11">
      <c r="A1033" s="65"/>
      <c r="B1033" s="39" t="s">
        <v>23</v>
      </c>
      <c r="C1033" s="29"/>
      <c r="D1033" s="40"/>
      <c r="E1033" s="40"/>
      <c r="F1033" s="36"/>
      <c r="G1033" s="48"/>
      <c r="H1033" s="36"/>
      <c r="I1033" s="36"/>
      <c r="J1033" s="32"/>
      <c r="K1033" s="32"/>
    </row>
    <row r="1034" spans="1:11">
      <c r="A1034" s="51">
        <v>1534520</v>
      </c>
      <c r="B1034" s="17" t="s">
        <v>81</v>
      </c>
      <c r="C1034" s="57">
        <v>6010</v>
      </c>
      <c r="D1034" s="19">
        <v>1041043.04</v>
      </c>
      <c r="E1034" s="19">
        <f>+D1034*2</f>
        <v>2082086.08</v>
      </c>
      <c r="F1034" s="51">
        <f>+'[1]STAFF SALARIES SUMMARY'!C21+'[1]STAFF SALARIES SUMMARY'!D21</f>
        <v>1462416.75</v>
      </c>
      <c r="G1034" s="52">
        <f>E1034*8.3%+E1034</f>
        <v>2254899.2246400001</v>
      </c>
      <c r="H1034" s="51">
        <f>G1034*8.3%+G1034</f>
        <v>2442055.8602851201</v>
      </c>
      <c r="I1034" s="51">
        <f>H1034*8.3%+H1034</f>
        <v>2644746.496688785</v>
      </c>
      <c r="J1034" s="32"/>
      <c r="K1034" s="32"/>
    </row>
    <row r="1035" spans="1:11">
      <c r="A1035" s="51">
        <v>28620</v>
      </c>
      <c r="B1035" s="17" t="s">
        <v>55</v>
      </c>
      <c r="C1035" s="57">
        <v>6030</v>
      </c>
      <c r="D1035" s="19">
        <v>1990.8</v>
      </c>
      <c r="E1035" s="19">
        <f>D1035*2</f>
        <v>3981.6</v>
      </c>
      <c r="F1035" s="51">
        <f>+'[1]STAFF SALARIES SUMMARY'!I21</f>
        <v>0</v>
      </c>
      <c r="G1035" s="52">
        <f t="shared" ref="G1035:G1042" si="523">E1035*8.3%+E1035</f>
        <v>4312.0727999999999</v>
      </c>
      <c r="H1035" s="51">
        <f t="shared" ref="H1035:I1035" si="524">G1035*8.3%+G1035</f>
        <v>4669.9748423999999</v>
      </c>
      <c r="I1035" s="51">
        <f t="shared" si="524"/>
        <v>5057.5827543191999</v>
      </c>
      <c r="J1035" s="32"/>
      <c r="K1035" s="32"/>
    </row>
    <row r="1036" spans="1:11">
      <c r="A1036" s="51">
        <f>170000+120000</f>
        <v>290000</v>
      </c>
      <c r="B1036" s="17" t="s">
        <v>133</v>
      </c>
      <c r="C1036" s="57">
        <v>6040</v>
      </c>
      <c r="D1036" s="19">
        <v>176281.61</v>
      </c>
      <c r="E1036" s="19">
        <f>+D1036*2</f>
        <v>352563.22</v>
      </c>
      <c r="F1036" s="51">
        <f>+'[1]STAFF SALARIES SUMMARY'!G21</f>
        <v>252253.61</v>
      </c>
      <c r="G1036" s="52">
        <f t="shared" si="523"/>
        <v>381825.96725999995</v>
      </c>
      <c r="H1036" s="51">
        <f t="shared" ref="H1036:I1036" si="525">G1036*8.3%+G1036</f>
        <v>413517.52254257991</v>
      </c>
      <c r="I1036" s="51">
        <f t="shared" si="525"/>
        <v>447839.47691361402</v>
      </c>
      <c r="J1036" s="32"/>
      <c r="K1036" s="32"/>
    </row>
    <row r="1037" spans="1:11">
      <c r="A1037" s="51">
        <v>254580</v>
      </c>
      <c r="B1037" s="17" t="s">
        <v>115</v>
      </c>
      <c r="C1037" s="57">
        <v>6050</v>
      </c>
      <c r="D1037" s="19">
        <v>190094.53</v>
      </c>
      <c r="E1037" s="19">
        <f>+D1037*2</f>
        <v>380189.06</v>
      </c>
      <c r="F1037" s="51">
        <f>+'[1]STAFF SALARIES SUMMARY'!H21</f>
        <v>241014.52</v>
      </c>
      <c r="G1037" s="52">
        <f t="shared" si="523"/>
        <v>411744.75198</v>
      </c>
      <c r="H1037" s="51">
        <f t="shared" ref="H1037:I1037" si="526">G1037*8.3%+G1037</f>
        <v>445919.56639434001</v>
      </c>
      <c r="I1037" s="51">
        <f t="shared" si="526"/>
        <v>482930.89040507027</v>
      </c>
      <c r="J1037" s="32"/>
      <c r="K1037" s="32"/>
    </row>
    <row r="1038" spans="1:11">
      <c r="A1038" s="51">
        <f>8000+10000</f>
        <v>18000</v>
      </c>
      <c r="B1038" s="17" t="s">
        <v>85</v>
      </c>
      <c r="C1038" s="57">
        <v>6070</v>
      </c>
      <c r="D1038" s="19">
        <v>8664.61</v>
      </c>
      <c r="E1038" s="19">
        <f>+D1038*2</f>
        <v>17329.22</v>
      </c>
      <c r="F1038" s="51">
        <v>0</v>
      </c>
      <c r="G1038" s="52">
        <f t="shared" si="523"/>
        <v>18767.545260000003</v>
      </c>
      <c r="H1038" s="51">
        <f t="shared" ref="H1038:I1038" si="527">G1038*8.3%+G1038</f>
        <v>20325.251516580003</v>
      </c>
      <c r="I1038" s="51">
        <f t="shared" si="527"/>
        <v>22012.247392456142</v>
      </c>
      <c r="J1038" s="32"/>
      <c r="K1038" s="32"/>
    </row>
    <row r="1039" spans="1:11">
      <c r="A1039" s="51">
        <v>30000</v>
      </c>
      <c r="B1039" s="17" t="s">
        <v>58</v>
      </c>
      <c r="C1039" s="57">
        <v>6080</v>
      </c>
      <c r="D1039" s="19">
        <v>211.41</v>
      </c>
      <c r="E1039" s="19">
        <f t="shared" ref="E1039:E1042" si="528">+D1039*2</f>
        <v>422.82</v>
      </c>
      <c r="F1039" s="51">
        <f>+'[1]STAFF SALARIES SUMMARY'!E21</f>
        <v>0</v>
      </c>
      <c r="G1039" s="52">
        <v>0</v>
      </c>
      <c r="H1039" s="51">
        <f t="shared" ref="H1039:I1039" si="529">G1039*8.3%+G1039</f>
        <v>0</v>
      </c>
      <c r="I1039" s="51">
        <f t="shared" si="529"/>
        <v>0</v>
      </c>
      <c r="J1039" s="32"/>
      <c r="K1039" s="32"/>
    </row>
    <row r="1040" spans="1:11">
      <c r="A1040" s="51">
        <v>10000</v>
      </c>
      <c r="B1040" s="17" t="s">
        <v>217</v>
      </c>
      <c r="C1040" s="57">
        <v>6085</v>
      </c>
      <c r="D1040" s="19">
        <v>2499.96</v>
      </c>
      <c r="E1040" s="19">
        <f t="shared" si="528"/>
        <v>4999.92</v>
      </c>
      <c r="F1040" s="63">
        <f>+'[1]STAFF SALARIES SUMMARY'!F21</f>
        <v>2499.96</v>
      </c>
      <c r="G1040" s="52">
        <f t="shared" si="523"/>
        <v>5414.9133600000005</v>
      </c>
      <c r="H1040" s="51">
        <f t="shared" ref="H1040:I1040" si="530">G1040*8.3%+G1040</f>
        <v>5864.3511688800008</v>
      </c>
      <c r="I1040" s="51">
        <f t="shared" si="530"/>
        <v>6351.0923158970409</v>
      </c>
      <c r="J1040" s="32"/>
      <c r="K1040" s="32"/>
    </row>
    <row r="1041" spans="1:11">
      <c r="A1041" s="51">
        <v>1550</v>
      </c>
      <c r="B1041" s="17" t="s">
        <v>86</v>
      </c>
      <c r="C1041" s="57">
        <v>6088</v>
      </c>
      <c r="D1041" s="19">
        <v>693.75</v>
      </c>
      <c r="E1041" s="19">
        <f t="shared" si="528"/>
        <v>1387.5</v>
      </c>
      <c r="F1041" s="63">
        <f>+'[1]STAFF SALARIES SUMMARY'!K21</f>
        <v>1491.75</v>
      </c>
      <c r="G1041" s="52">
        <f t="shared" si="523"/>
        <v>1502.6624999999999</v>
      </c>
      <c r="H1041" s="51">
        <f t="shared" ref="H1041:I1041" si="531">G1041*8.3%+G1041</f>
        <v>1627.3834875</v>
      </c>
      <c r="I1041" s="51">
        <f t="shared" si="531"/>
        <v>1762.4563169625001</v>
      </c>
      <c r="J1041" s="32"/>
      <c r="K1041" s="32"/>
    </row>
    <row r="1042" spans="1:11">
      <c r="A1042" s="51">
        <v>21363.26</v>
      </c>
      <c r="B1042" s="17" t="s">
        <v>0</v>
      </c>
      <c r="C1042" s="57">
        <v>6087</v>
      </c>
      <c r="D1042" s="19">
        <v>12257.74</v>
      </c>
      <c r="E1042" s="19">
        <f t="shared" si="528"/>
        <v>24515.48</v>
      </c>
      <c r="F1042" s="63">
        <f>+'[1]STAFF SALARIES SUMMARY'!J21</f>
        <v>13499.23</v>
      </c>
      <c r="G1042" s="52">
        <f t="shared" si="523"/>
        <v>26550.26484</v>
      </c>
      <c r="H1042" s="51">
        <f t="shared" ref="H1042:I1042" si="532">G1042*8.3%+G1042</f>
        <v>28753.936821719999</v>
      </c>
      <c r="I1042" s="51">
        <f t="shared" si="532"/>
        <v>31140.51357792276</v>
      </c>
      <c r="J1042" s="32"/>
      <c r="K1042" s="32"/>
    </row>
    <row r="1043" spans="1:11">
      <c r="A1043" s="49">
        <f>SUM(A1034:A1042)</f>
        <v>2188633.2599999998</v>
      </c>
      <c r="B1043" s="17"/>
      <c r="C1043" s="18"/>
      <c r="D1043" s="49">
        <f>SUM(D1034:D1042)</f>
        <v>1433737.4500000002</v>
      </c>
      <c r="E1043" s="49">
        <f>SUM(E1034:E1042)</f>
        <v>2867474.9000000004</v>
      </c>
      <c r="F1043" s="49">
        <f>SUM(F1034:F1042)</f>
        <v>1973175.8199999998</v>
      </c>
      <c r="G1043" s="48">
        <f>SUM(G1034:G1042)</f>
        <v>3105017.4026400005</v>
      </c>
      <c r="H1043" s="49">
        <f t="shared" ref="H1043:I1043" si="533">SUM(H1034:H1042)</f>
        <v>3362733.8470591195</v>
      </c>
      <c r="I1043" s="49">
        <f t="shared" si="533"/>
        <v>3641840.7563650268</v>
      </c>
      <c r="J1043" s="32"/>
      <c r="K1043" s="32"/>
    </row>
    <row r="1044" spans="1:11">
      <c r="A1044" s="66"/>
      <c r="B1044" s="39" t="s">
        <v>30</v>
      </c>
      <c r="C1044" s="69"/>
      <c r="D1044" s="40"/>
      <c r="E1044" s="40"/>
      <c r="F1044" s="36"/>
      <c r="G1044" s="48"/>
      <c r="H1044" s="36"/>
      <c r="I1044" s="36"/>
      <c r="J1044" s="32"/>
      <c r="K1044" s="32"/>
    </row>
    <row r="1045" spans="1:11">
      <c r="A1045" s="51">
        <v>100000</v>
      </c>
      <c r="B1045" s="17" t="s">
        <v>269</v>
      </c>
      <c r="C1045" s="57">
        <v>6530</v>
      </c>
      <c r="D1045" s="19">
        <v>1428.9</v>
      </c>
      <c r="E1045" s="19">
        <f>F1045/2</f>
        <v>75000</v>
      </c>
      <c r="F1045" s="51">
        <v>150000</v>
      </c>
      <c r="G1045" s="52">
        <v>50000</v>
      </c>
      <c r="H1045" s="51">
        <f>G1045*6.3%+G1045</f>
        <v>53150</v>
      </c>
      <c r="I1045" s="51">
        <f>H1045*6.3%+H1045</f>
        <v>56498.45</v>
      </c>
      <c r="J1045" s="32"/>
      <c r="K1045" s="32"/>
    </row>
    <row r="1046" spans="1:11">
      <c r="A1046" s="51">
        <f>+F1046</f>
        <v>31440</v>
      </c>
      <c r="B1046" s="17" t="s">
        <v>90</v>
      </c>
      <c r="C1046" s="57">
        <v>6540</v>
      </c>
      <c r="D1046" s="19">
        <v>16579.150000000001</v>
      </c>
      <c r="E1046" s="19">
        <f>+D1046*2</f>
        <v>33158.300000000003</v>
      </c>
      <c r="F1046" s="51">
        <v>31440</v>
      </c>
      <c r="G1046" s="52">
        <f t="shared" ref="G1046:G1053" si="534">E1046*8.3%+E1046</f>
        <v>35910.438900000001</v>
      </c>
      <c r="H1046" s="51">
        <f t="shared" ref="H1046:I1046" si="535">G1046*6.3%+G1046</f>
        <v>38172.796550700004</v>
      </c>
      <c r="I1046" s="51">
        <f t="shared" si="535"/>
        <v>40577.682733394104</v>
      </c>
      <c r="J1046" s="32"/>
      <c r="K1046" s="32"/>
    </row>
    <row r="1047" spans="1:11">
      <c r="A1047" s="51">
        <v>24560</v>
      </c>
      <c r="B1047" s="17" t="s">
        <v>33</v>
      </c>
      <c r="C1047" s="57">
        <v>6570</v>
      </c>
      <c r="D1047" s="19"/>
      <c r="E1047" s="19">
        <f>+F1047/2</f>
        <v>12280</v>
      </c>
      <c r="F1047" s="51">
        <v>24560</v>
      </c>
      <c r="G1047" s="52">
        <f>E1047/2</f>
        <v>6140</v>
      </c>
      <c r="H1047" s="51">
        <f t="shared" ref="H1047:I1047" si="536">G1047*6.3%+G1047</f>
        <v>6526.82</v>
      </c>
      <c r="I1047" s="51">
        <f t="shared" si="536"/>
        <v>6938.0096599999997</v>
      </c>
      <c r="J1047" s="32"/>
      <c r="K1047" s="32"/>
    </row>
    <row r="1048" spans="1:11">
      <c r="A1048" s="51">
        <v>600</v>
      </c>
      <c r="B1048" s="17" t="s">
        <v>241</v>
      </c>
      <c r="C1048" s="57">
        <v>6630</v>
      </c>
      <c r="D1048" s="19"/>
      <c r="E1048" s="19">
        <v>0</v>
      </c>
      <c r="F1048" s="51">
        <v>0</v>
      </c>
      <c r="G1048" s="52">
        <f t="shared" si="534"/>
        <v>0</v>
      </c>
      <c r="H1048" s="51">
        <f t="shared" ref="H1048:I1048" si="537">G1048*6.3%+G1048</f>
        <v>0</v>
      </c>
      <c r="I1048" s="51">
        <f t="shared" si="537"/>
        <v>0</v>
      </c>
      <c r="J1048" s="32"/>
      <c r="K1048" s="32"/>
    </row>
    <row r="1049" spans="1:11">
      <c r="A1049" s="51">
        <v>15380</v>
      </c>
      <c r="B1049" s="17" t="s">
        <v>62</v>
      </c>
      <c r="C1049" s="57">
        <v>6690</v>
      </c>
      <c r="D1049" s="19"/>
      <c r="E1049" s="19">
        <f>F1049/2</f>
        <v>7690</v>
      </c>
      <c r="F1049" s="51">
        <v>15380</v>
      </c>
      <c r="G1049" s="52">
        <f>E1049</f>
        <v>7690</v>
      </c>
      <c r="H1049" s="51">
        <f t="shared" ref="H1049:I1049" si="538">G1049*6.3%+G1049</f>
        <v>8174.47</v>
      </c>
      <c r="I1049" s="51">
        <f t="shared" si="538"/>
        <v>8689.4616100000003</v>
      </c>
      <c r="J1049" s="32"/>
      <c r="K1049" s="32"/>
    </row>
    <row r="1050" spans="1:11">
      <c r="A1050" s="51"/>
      <c r="B1050" s="17" t="s">
        <v>277</v>
      </c>
      <c r="C1050" s="57">
        <v>6528</v>
      </c>
      <c r="D1050" s="19">
        <v>53541.99</v>
      </c>
      <c r="E1050" s="19">
        <f>+D1050*2</f>
        <v>107083.98</v>
      </c>
      <c r="F1050" s="51">
        <v>25000</v>
      </c>
      <c r="G1050" s="52">
        <f t="shared" si="534"/>
        <v>115971.95034</v>
      </c>
      <c r="H1050" s="51">
        <f t="shared" ref="H1050:I1050" si="539">G1050*6.3%+G1050</f>
        <v>123278.18321141999</v>
      </c>
      <c r="I1050" s="51">
        <f t="shared" si="539"/>
        <v>131044.70875373945</v>
      </c>
      <c r="J1050" s="32"/>
      <c r="K1050" s="32"/>
    </row>
    <row r="1051" spans="1:11">
      <c r="A1051" s="51">
        <v>59521.42</v>
      </c>
      <c r="B1051" s="17" t="s">
        <v>99</v>
      </c>
      <c r="C1051" s="57">
        <v>6970</v>
      </c>
      <c r="D1051" s="19">
        <v>30150.39</v>
      </c>
      <c r="E1051" s="19">
        <f>+D1051*2</f>
        <v>60300.78</v>
      </c>
      <c r="F1051" s="51">
        <v>300000</v>
      </c>
      <c r="G1051" s="52">
        <v>200000</v>
      </c>
      <c r="H1051" s="51">
        <f t="shared" ref="H1051:I1051" si="540">G1051*6.3%+G1051</f>
        <v>212600</v>
      </c>
      <c r="I1051" s="51">
        <f t="shared" si="540"/>
        <v>225993.8</v>
      </c>
      <c r="J1051" s="32"/>
      <c r="K1051" s="32"/>
    </row>
    <row r="1052" spans="1:11">
      <c r="A1052" s="51">
        <v>700</v>
      </c>
      <c r="B1052" s="17" t="s">
        <v>39</v>
      </c>
      <c r="C1052" s="57">
        <v>6990</v>
      </c>
      <c r="D1052" s="19">
        <v>391.54</v>
      </c>
      <c r="E1052" s="19">
        <f>+F1052</f>
        <v>1400</v>
      </c>
      <c r="F1052" s="51">
        <v>1400</v>
      </c>
      <c r="G1052" s="52">
        <f t="shared" si="534"/>
        <v>1516.2</v>
      </c>
      <c r="H1052" s="51">
        <f t="shared" ref="H1052:I1052" si="541">G1052*6.3%+G1052</f>
        <v>1611.7206000000001</v>
      </c>
      <c r="I1052" s="51">
        <f t="shared" si="541"/>
        <v>1713.2589978000001</v>
      </c>
      <c r="J1052" s="32"/>
      <c r="K1052" s="32"/>
    </row>
    <row r="1053" spans="1:11">
      <c r="A1053" s="51">
        <f>+F1053</f>
        <v>37800</v>
      </c>
      <c r="B1053" s="17" t="s">
        <v>65</v>
      </c>
      <c r="C1053" s="57">
        <v>7081</v>
      </c>
      <c r="D1053" s="19"/>
      <c r="E1053" s="19">
        <f>+F1053/2</f>
        <v>18900</v>
      </c>
      <c r="F1053" s="51">
        <v>37800</v>
      </c>
      <c r="G1053" s="52">
        <f t="shared" si="534"/>
        <v>20468.7</v>
      </c>
      <c r="H1053" s="51">
        <f t="shared" ref="H1053:I1053" si="542">G1053*6.3%+G1053</f>
        <v>21758.2281</v>
      </c>
      <c r="I1053" s="51">
        <f t="shared" si="542"/>
        <v>23128.996470300001</v>
      </c>
      <c r="J1053" s="32"/>
      <c r="K1053" s="32"/>
    </row>
    <row r="1054" spans="1:11">
      <c r="A1054" s="51">
        <v>30000</v>
      </c>
      <c r="B1054" s="17" t="s">
        <v>58</v>
      </c>
      <c r="C1054" s="57">
        <v>7090</v>
      </c>
      <c r="D1054" s="19">
        <v>32804</v>
      </c>
      <c r="E1054" s="19">
        <f>+D1054</f>
        <v>32804</v>
      </c>
      <c r="F1054" s="51">
        <v>30000</v>
      </c>
      <c r="G1054" s="52">
        <f>E1054*8.3%+E1054+458</f>
        <v>35984.732000000004</v>
      </c>
      <c r="H1054" s="51">
        <f t="shared" ref="H1054:I1054" si="543">G1054*6.3%+G1054</f>
        <v>38251.770116000007</v>
      </c>
      <c r="I1054" s="51">
        <f t="shared" si="543"/>
        <v>40661.63163330801</v>
      </c>
      <c r="J1054" s="32"/>
      <c r="K1054" s="32"/>
    </row>
    <row r="1055" spans="1:11">
      <c r="A1055" s="49">
        <f>SUM(A1045:A1054)</f>
        <v>300001.42</v>
      </c>
      <c r="B1055" s="17"/>
      <c r="C1055" s="57"/>
      <c r="D1055" s="49">
        <f>SUM(D1045:D1054)</f>
        <v>134895.97</v>
      </c>
      <c r="E1055" s="49">
        <f>SUM(E1045:E1054)</f>
        <v>348617.06</v>
      </c>
      <c r="F1055" s="49">
        <f>SUM(F1045:F1054)</f>
        <v>615580</v>
      </c>
      <c r="G1055" s="48">
        <f t="shared" ref="G1055:I1055" si="544">SUM(G1045:G1054)</f>
        <v>473682.02124000003</v>
      </c>
      <c r="H1055" s="49">
        <f t="shared" si="544"/>
        <v>503523.98857812001</v>
      </c>
      <c r="I1055" s="49">
        <f t="shared" si="544"/>
        <v>535245.99985854153</v>
      </c>
      <c r="J1055" s="32"/>
      <c r="K1055" s="32"/>
    </row>
    <row r="1056" spans="1:11">
      <c r="A1056" s="51"/>
      <c r="B1056" s="17"/>
      <c r="C1056" s="57"/>
      <c r="D1056" s="19"/>
      <c r="E1056" s="19"/>
      <c r="F1056" s="49"/>
      <c r="G1056" s="48"/>
      <c r="H1056" s="49"/>
      <c r="I1056" s="49"/>
      <c r="J1056" s="32"/>
      <c r="K1056" s="32"/>
    </row>
    <row r="1057" spans="1:11">
      <c r="A1057" s="66"/>
      <c r="B1057" s="39" t="s">
        <v>69</v>
      </c>
      <c r="C1057" s="69"/>
      <c r="D1057" s="40"/>
      <c r="E1057" s="40"/>
      <c r="F1057" s="36"/>
      <c r="G1057" s="48"/>
      <c r="H1057" s="36"/>
      <c r="I1057" s="36"/>
      <c r="J1057" s="32"/>
      <c r="K1057" s="32"/>
    </row>
    <row r="1058" spans="1:11">
      <c r="A1058" s="51">
        <v>26300</v>
      </c>
      <c r="B1058" s="17" t="s">
        <v>156</v>
      </c>
      <c r="C1058" s="57">
        <v>7240</v>
      </c>
      <c r="D1058" s="19">
        <v>8928.7199999999993</v>
      </c>
      <c r="E1058" s="19">
        <f>F1058</f>
        <v>26300</v>
      </c>
      <c r="F1058" s="51">
        <v>26300</v>
      </c>
      <c r="G1058" s="52">
        <v>20000</v>
      </c>
      <c r="H1058" s="51">
        <f>G1058*6.3%+G1058</f>
        <v>21260</v>
      </c>
      <c r="I1058" s="51">
        <f>H1058*6.3%+H1058</f>
        <v>22599.38</v>
      </c>
      <c r="J1058" s="32"/>
      <c r="K1058" s="32"/>
    </row>
    <row r="1059" spans="1:11">
      <c r="A1059" s="51">
        <f>100000+195335</f>
        <v>295335</v>
      </c>
      <c r="B1059" s="17" t="s">
        <v>270</v>
      </c>
      <c r="C1059" s="57">
        <v>7245</v>
      </c>
      <c r="D1059" s="19">
        <v>27420</v>
      </c>
      <c r="E1059" s="19">
        <f>F1059/2-72810</f>
        <v>89624.25</v>
      </c>
      <c r="F1059" s="63">
        <f>+A1059*0.1+A1059</f>
        <v>324868.5</v>
      </c>
      <c r="G1059" s="52">
        <v>150000</v>
      </c>
      <c r="H1059" s="51">
        <f t="shared" ref="H1059:I1059" si="545">G1059*6.3%+G1059</f>
        <v>159450</v>
      </c>
      <c r="I1059" s="51">
        <f t="shared" si="545"/>
        <v>169495.35</v>
      </c>
      <c r="J1059" s="32"/>
      <c r="K1059" s="32"/>
    </row>
    <row r="1060" spans="1:11">
      <c r="A1060" s="51">
        <v>0</v>
      </c>
      <c r="B1060" s="17" t="s">
        <v>42</v>
      </c>
      <c r="C1060" s="57">
        <v>7350</v>
      </c>
      <c r="D1060" s="19">
        <v>33119.69</v>
      </c>
      <c r="E1060" s="19">
        <f>+D1060*2</f>
        <v>66239.38</v>
      </c>
      <c r="F1060" s="51">
        <v>40000</v>
      </c>
      <c r="G1060" s="52">
        <f t="shared" ref="G1060:I1060" si="546">F1060*6.3%+F1060</f>
        <v>42520</v>
      </c>
      <c r="H1060" s="51">
        <f t="shared" si="546"/>
        <v>45198.76</v>
      </c>
      <c r="I1060" s="51">
        <f t="shared" si="546"/>
        <v>48046.281880000002</v>
      </c>
      <c r="J1060" s="32"/>
      <c r="K1060" s="32"/>
    </row>
    <row r="1061" spans="1:11">
      <c r="A1061" s="49">
        <f>SUM(A1058:A1060)</f>
        <v>321635</v>
      </c>
      <c r="B1061" s="17"/>
      <c r="C1061" s="57"/>
      <c r="D1061" s="49">
        <f t="shared" ref="D1061:I1061" si="547">SUM(D1058:D1060)</f>
        <v>69468.41</v>
      </c>
      <c r="E1061" s="49">
        <f t="shared" si="547"/>
        <v>182163.63</v>
      </c>
      <c r="F1061" s="49">
        <f t="shared" si="547"/>
        <v>391168.5</v>
      </c>
      <c r="G1061" s="48">
        <f t="shared" si="547"/>
        <v>212520</v>
      </c>
      <c r="H1061" s="49">
        <f t="shared" si="547"/>
        <v>225908.76</v>
      </c>
      <c r="I1061" s="49">
        <f t="shared" si="547"/>
        <v>240141.01188000001</v>
      </c>
      <c r="J1061" s="32"/>
      <c r="K1061" s="32"/>
    </row>
    <row r="1062" spans="1:11">
      <c r="A1062" s="51"/>
      <c r="B1062" s="17"/>
      <c r="C1062" s="57"/>
      <c r="D1062" s="19"/>
      <c r="E1062" s="19"/>
      <c r="F1062" s="49"/>
      <c r="G1062" s="48"/>
      <c r="H1062" s="49"/>
      <c r="I1062" s="49"/>
      <c r="J1062" s="32"/>
      <c r="K1062" s="32"/>
    </row>
    <row r="1063" spans="1:11">
      <c r="A1063" s="51"/>
      <c r="B1063" s="39" t="s">
        <v>67</v>
      </c>
      <c r="C1063" s="57"/>
      <c r="D1063" s="19"/>
      <c r="E1063" s="19"/>
      <c r="F1063" s="49"/>
      <c r="G1063" s="48"/>
      <c r="H1063" s="49"/>
      <c r="I1063" s="49"/>
      <c r="J1063" s="32"/>
      <c r="K1063" s="32"/>
    </row>
    <row r="1064" spans="1:11">
      <c r="A1064" s="51">
        <v>246000</v>
      </c>
      <c r="B1064" s="17" t="s">
        <v>271</v>
      </c>
      <c r="C1064" s="57">
        <v>7800</v>
      </c>
      <c r="D1064" s="19">
        <v>132445.63</v>
      </c>
      <c r="E1064" s="19">
        <f>+D1064*2</f>
        <v>264891.26</v>
      </c>
      <c r="F1064" s="49">
        <v>0</v>
      </c>
      <c r="G1064" s="52">
        <f>+E1064*0.1+E1064</f>
        <v>291380.386</v>
      </c>
      <c r="H1064" s="51">
        <f>+G1064*10/100+G1064</f>
        <v>320518.42460000003</v>
      </c>
      <c r="I1064" s="51">
        <f>+H1064*10/100+H1064</f>
        <v>352570.26706000004</v>
      </c>
      <c r="J1064" s="32"/>
      <c r="K1064" s="32"/>
    </row>
    <row r="1065" spans="1:11">
      <c r="A1065" s="36"/>
      <c r="B1065" s="17"/>
      <c r="C1065" s="18"/>
      <c r="D1065" s="19"/>
      <c r="E1065" s="19"/>
      <c r="F1065" s="49"/>
      <c r="G1065" s="48"/>
      <c r="H1065" s="49"/>
      <c r="I1065" s="49"/>
      <c r="J1065" s="32"/>
      <c r="K1065" s="32"/>
    </row>
    <row r="1066" spans="1:11">
      <c r="A1066" s="36"/>
      <c r="B1066" s="17"/>
      <c r="C1066" s="18"/>
      <c r="D1066" s="19"/>
      <c r="E1066" s="19"/>
      <c r="F1066" s="36"/>
      <c r="G1066" s="48"/>
      <c r="H1066" s="36"/>
      <c r="I1066" s="36"/>
      <c r="J1066" s="32"/>
      <c r="K1066" s="32"/>
    </row>
    <row r="1067" spans="1:11">
      <c r="A1067" s="49">
        <f>+A1064+A1061+A1055+A1043</f>
        <v>3056269.6799999997</v>
      </c>
      <c r="B1067" s="39" t="s">
        <v>46</v>
      </c>
      <c r="C1067" s="18"/>
      <c r="D1067" s="49">
        <f t="shared" ref="D1067:E1067" si="548">+D1064+D1061+D1055+D1043</f>
        <v>1770547.4600000002</v>
      </c>
      <c r="E1067" s="49">
        <f t="shared" si="548"/>
        <v>3663146.8500000006</v>
      </c>
      <c r="F1067" s="49">
        <f>+F1064+F1061+F1055+F1043</f>
        <v>2979924.32</v>
      </c>
      <c r="G1067" s="48">
        <f t="shared" ref="G1067:I1067" si="549">+G1064+G1061+G1055+G1043</f>
        <v>4082599.8098800005</v>
      </c>
      <c r="H1067" s="49">
        <f t="shared" si="549"/>
        <v>4412685.0202372391</v>
      </c>
      <c r="I1067" s="49">
        <f t="shared" si="549"/>
        <v>4769798.0351635683</v>
      </c>
      <c r="J1067" s="32"/>
      <c r="K1067" s="32"/>
    </row>
    <row r="1068" spans="1:11">
      <c r="A1068" s="49">
        <f>+A1031-A1067</f>
        <v>-322019.6799999997</v>
      </c>
      <c r="B1068" s="44" t="str">
        <f>B60</f>
        <v>NETT AMOUNT</v>
      </c>
      <c r="C1068" s="18"/>
      <c r="D1068" s="49">
        <f>+D1031-D1067</f>
        <v>-1215525.1100000003</v>
      </c>
      <c r="E1068" s="49">
        <f>+E1031-E1067</f>
        <v>-136589.35000000056</v>
      </c>
      <c r="F1068" s="49">
        <f>+F1031-F1067</f>
        <v>546633.18000000017</v>
      </c>
      <c r="G1068" s="48">
        <f t="shared" ref="G1068:I1068" si="550">+G1031-G1067</f>
        <v>-341018.55988000054</v>
      </c>
      <c r="H1068" s="49">
        <f t="shared" si="550"/>
        <v>-399315.39523723908</v>
      </c>
      <c r="I1068" s="49">
        <f t="shared" si="550"/>
        <v>-355091.44766356796</v>
      </c>
      <c r="J1068" s="32"/>
      <c r="K1068" s="32"/>
    </row>
    <row r="1069" spans="1:11">
      <c r="A1069" s="34"/>
      <c r="B1069" s="17"/>
      <c r="C1069" s="17"/>
      <c r="D1069" s="17"/>
      <c r="E1069" s="17"/>
      <c r="F1069" s="30"/>
      <c r="G1069" s="31"/>
      <c r="H1069" s="30"/>
      <c r="I1069" s="30"/>
      <c r="J1069" s="32"/>
      <c r="K1069" s="32"/>
    </row>
    <row r="1070" spans="1:11">
      <c r="A1070" s="34"/>
      <c r="B1070" s="17"/>
      <c r="C1070" s="17"/>
      <c r="D1070" s="17"/>
      <c r="E1070" s="17"/>
      <c r="F1070" s="30"/>
      <c r="G1070" s="30"/>
      <c r="H1070" s="30"/>
      <c r="I1070" s="30"/>
      <c r="J1070" s="32"/>
      <c r="K1070" s="32"/>
    </row>
    <row r="1071" spans="1:11">
      <c r="A1071" s="70"/>
      <c r="B1071" s="71"/>
      <c r="C1071" s="71"/>
      <c r="D1071" s="71"/>
      <c r="E1071" s="71"/>
      <c r="F1071" s="72"/>
      <c r="G1071" s="72"/>
      <c r="H1071" s="72"/>
      <c r="I1071" s="72"/>
      <c r="J1071" s="32"/>
      <c r="K1071" s="32"/>
    </row>
    <row r="1072" spans="1:11">
      <c r="A1072" s="70"/>
      <c r="B1072" s="71"/>
      <c r="C1072" s="71"/>
      <c r="D1072" s="71"/>
      <c r="E1072" s="71"/>
      <c r="F1072" s="72"/>
      <c r="G1072" s="72"/>
      <c r="H1072" s="72"/>
      <c r="I1072" s="72"/>
      <c r="J1072" s="32"/>
      <c r="K1072" s="32"/>
    </row>
    <row r="1073" spans="1:11">
      <c r="A1073" s="70"/>
      <c r="B1073" s="71"/>
      <c r="C1073" s="71"/>
      <c r="D1073" s="71"/>
      <c r="E1073" s="71"/>
      <c r="F1073" s="72"/>
      <c r="G1073" s="72"/>
      <c r="H1073" s="72"/>
      <c r="I1073" s="72"/>
      <c r="J1073" s="32"/>
      <c r="K1073" s="32"/>
    </row>
    <row r="1074" spans="1:11">
      <c r="A1074" s="70"/>
      <c r="B1074" s="71"/>
      <c r="C1074" s="71"/>
      <c r="D1074" s="71"/>
      <c r="E1074" s="71"/>
      <c r="F1074" s="72"/>
      <c r="G1074" s="72"/>
      <c r="H1074" s="72"/>
      <c r="I1074" s="72"/>
      <c r="J1074" s="32"/>
      <c r="K1074" s="32"/>
    </row>
    <row r="1075" spans="1:11">
      <c r="A1075" s="70"/>
      <c r="B1075" s="71"/>
      <c r="C1075" s="71"/>
      <c r="D1075" s="71"/>
      <c r="E1075" s="71"/>
      <c r="F1075" s="72"/>
      <c r="G1075" s="72"/>
      <c r="H1075" s="72"/>
      <c r="I1075" s="72"/>
      <c r="J1075" s="32"/>
      <c r="K1075" s="32"/>
    </row>
    <row r="1076" spans="1:11">
      <c r="A1076" s="70"/>
      <c r="B1076" s="71"/>
      <c r="C1076" s="71"/>
      <c r="D1076" s="71"/>
      <c r="E1076" s="71"/>
      <c r="F1076" s="72"/>
      <c r="G1076" s="72"/>
      <c r="H1076" s="72"/>
      <c r="I1076" s="72"/>
      <c r="J1076" s="32"/>
      <c r="K1076" s="32"/>
    </row>
    <row r="1077" spans="1:11">
      <c r="A1077" s="70"/>
      <c r="B1077" s="71"/>
      <c r="C1077" s="71"/>
      <c r="D1077" s="71"/>
      <c r="E1077" s="71"/>
      <c r="F1077" s="72"/>
      <c r="G1077" s="72"/>
      <c r="H1077" s="72"/>
      <c r="I1077" s="72"/>
      <c r="J1077" s="32"/>
      <c r="K1077" s="32"/>
    </row>
    <row r="1078" spans="1:11">
      <c r="A1078" s="70"/>
      <c r="B1078" s="71"/>
      <c r="C1078" s="71"/>
      <c r="D1078" s="71"/>
      <c r="E1078" s="71"/>
      <c r="F1078" s="72"/>
      <c r="G1078" s="72"/>
      <c r="H1078" s="72"/>
      <c r="I1078" s="72"/>
      <c r="J1078" s="32"/>
      <c r="K1078" s="32"/>
    </row>
    <row r="1079" spans="1:11">
      <c r="A1079" s="70"/>
      <c r="B1079" s="71"/>
      <c r="C1079" s="71"/>
      <c r="D1079" s="71"/>
      <c r="E1079" s="71"/>
      <c r="F1079" s="72"/>
      <c r="G1079" s="72"/>
      <c r="H1079" s="72"/>
      <c r="I1079" s="72"/>
      <c r="J1079" s="32"/>
      <c r="K1079" s="32"/>
    </row>
    <row r="1080" spans="1:11">
      <c r="A1080" s="70"/>
      <c r="B1080" s="71"/>
      <c r="C1080" s="71"/>
      <c r="D1080" s="71"/>
      <c r="E1080" s="71"/>
      <c r="F1080" s="72"/>
      <c r="G1080" s="72"/>
      <c r="H1080" s="72"/>
      <c r="I1080" s="72"/>
      <c r="J1080" s="32"/>
      <c r="K1080" s="32"/>
    </row>
    <row r="1081" spans="1:11">
      <c r="A1081" s="70"/>
      <c r="B1081" s="71"/>
      <c r="C1081" s="71"/>
      <c r="D1081" s="71"/>
      <c r="E1081" s="71"/>
      <c r="F1081" s="72"/>
      <c r="G1081" s="72"/>
      <c r="H1081" s="72"/>
      <c r="I1081" s="72"/>
      <c r="J1081" s="32"/>
      <c r="K1081" s="32"/>
    </row>
    <row r="1082" spans="1:11">
      <c r="A1082" s="70"/>
      <c r="B1082" s="71"/>
      <c r="C1082" s="71"/>
      <c r="D1082" s="71"/>
      <c r="E1082" s="71"/>
      <c r="F1082" s="72"/>
      <c r="G1082" s="72"/>
      <c r="H1082" s="72"/>
      <c r="I1082" s="72"/>
      <c r="J1082" s="32"/>
      <c r="K1082" s="32"/>
    </row>
    <row r="1083" spans="1:11">
      <c r="A1083" s="70"/>
      <c r="B1083" s="71"/>
      <c r="C1083" s="71"/>
      <c r="D1083" s="71"/>
      <c r="E1083" s="71"/>
      <c r="F1083" s="72"/>
      <c r="G1083" s="72"/>
      <c r="H1083" s="72"/>
      <c r="I1083" s="72"/>
      <c r="J1083" s="32"/>
      <c r="K1083" s="32"/>
    </row>
    <row r="1084" spans="1:11">
      <c r="A1084" s="70"/>
      <c r="B1084" s="71"/>
      <c r="C1084" s="71"/>
      <c r="D1084" s="71"/>
      <c r="E1084" s="71"/>
      <c r="F1084" s="72"/>
      <c r="G1084" s="72"/>
      <c r="H1084" s="72"/>
      <c r="I1084" s="72"/>
      <c r="J1084" s="32"/>
      <c r="K1084" s="32"/>
    </row>
    <row r="1085" spans="1:11">
      <c r="A1085" s="70"/>
      <c r="B1085" s="71"/>
      <c r="C1085" s="71"/>
      <c r="D1085" s="71"/>
      <c r="E1085" s="71"/>
      <c r="F1085" s="72"/>
      <c r="G1085" s="72"/>
      <c r="H1085" s="72"/>
      <c r="I1085" s="72"/>
      <c r="J1085" s="32"/>
      <c r="K1085" s="32"/>
    </row>
    <row r="1086" spans="1:11">
      <c r="A1086" s="70"/>
      <c r="B1086" s="71"/>
      <c r="C1086" s="71"/>
      <c r="D1086" s="71"/>
      <c r="E1086" s="71"/>
      <c r="F1086" s="72"/>
      <c r="G1086" s="72"/>
      <c r="H1086" s="72"/>
      <c r="I1086" s="72"/>
      <c r="J1086" s="32"/>
      <c r="K1086" s="32"/>
    </row>
    <row r="1087" spans="1:11">
      <c r="A1087" s="70"/>
      <c r="B1087" s="71"/>
      <c r="C1087" s="71"/>
      <c r="D1087" s="71"/>
      <c r="E1087" s="71"/>
      <c r="F1087" s="72"/>
      <c r="G1087" s="72"/>
      <c r="H1087" s="72"/>
      <c r="I1087" s="72"/>
      <c r="J1087" s="32"/>
      <c r="K1087" s="32"/>
    </row>
    <row r="1088" spans="1:11">
      <c r="A1088" s="70"/>
      <c r="B1088" s="71"/>
      <c r="C1088" s="71"/>
      <c r="D1088" s="71"/>
      <c r="E1088" s="71"/>
      <c r="F1088" s="72"/>
      <c r="G1088" s="72"/>
      <c r="H1088" s="72"/>
      <c r="I1088" s="72"/>
      <c r="J1088" s="32"/>
      <c r="K1088" s="32"/>
    </row>
    <row r="1089" spans="1:11">
      <c r="A1089" s="70"/>
      <c r="B1089" s="71"/>
      <c r="C1089" s="71"/>
      <c r="D1089" s="71"/>
      <c r="E1089" s="71"/>
      <c r="F1089" s="72"/>
      <c r="G1089" s="72"/>
      <c r="H1089" s="72"/>
      <c r="I1089" s="72"/>
      <c r="J1089" s="32"/>
      <c r="K1089" s="32"/>
    </row>
    <row r="1090" spans="1:11">
      <c r="A1090" s="70"/>
      <c r="B1090" s="71"/>
      <c r="C1090" s="71"/>
      <c r="D1090" s="71"/>
      <c r="E1090" s="71"/>
      <c r="F1090" s="72"/>
      <c r="G1090" s="72"/>
      <c r="H1090" s="72"/>
      <c r="I1090" s="72"/>
      <c r="J1090" s="32"/>
      <c r="K1090" s="32"/>
    </row>
    <row r="1091" spans="1:11">
      <c r="A1091" s="70"/>
      <c r="B1091" s="71"/>
      <c r="C1091" s="71"/>
      <c r="D1091" s="71"/>
      <c r="E1091" s="71"/>
      <c r="F1091" s="72"/>
      <c r="G1091" s="72"/>
      <c r="H1091" s="72"/>
      <c r="I1091" s="72"/>
      <c r="J1091" s="32"/>
      <c r="K1091" s="32"/>
    </row>
    <row r="1092" spans="1:11">
      <c r="A1092" s="70"/>
      <c r="B1092" s="71"/>
      <c r="C1092" s="71"/>
      <c r="D1092" s="71"/>
      <c r="E1092" s="71"/>
      <c r="F1092" s="72"/>
      <c r="G1092" s="72"/>
      <c r="H1092" s="72"/>
      <c r="I1092" s="72"/>
      <c r="J1092" s="32"/>
      <c r="K1092" s="32"/>
    </row>
    <row r="1093" spans="1:11">
      <c r="A1093" s="70"/>
      <c r="B1093" s="71"/>
      <c r="C1093" s="71"/>
      <c r="D1093" s="71"/>
      <c r="E1093" s="71"/>
      <c r="F1093" s="72"/>
      <c r="G1093" s="72"/>
      <c r="H1093" s="72"/>
      <c r="I1093" s="72"/>
      <c r="J1093" s="32"/>
      <c r="K1093" s="32"/>
    </row>
    <row r="1094" spans="1:11">
      <c r="A1094" s="70"/>
      <c r="B1094" s="71"/>
      <c r="C1094" s="71"/>
      <c r="D1094" s="71"/>
      <c r="E1094" s="71"/>
      <c r="F1094" s="72"/>
      <c r="G1094" s="72"/>
      <c r="H1094" s="72"/>
      <c r="I1094" s="72"/>
      <c r="J1094" s="32"/>
      <c r="K1094" s="32"/>
    </row>
    <row r="1095" spans="1:11">
      <c r="A1095" s="70"/>
      <c r="B1095" s="71"/>
      <c r="C1095" s="71"/>
      <c r="D1095" s="71"/>
      <c r="E1095" s="71"/>
      <c r="F1095" s="72"/>
      <c r="G1095" s="72"/>
      <c r="H1095" s="72"/>
      <c r="I1095" s="72"/>
      <c r="J1095" s="32"/>
      <c r="K1095" s="32"/>
    </row>
    <row r="1096" spans="1:11">
      <c r="A1096" s="70"/>
      <c r="B1096" s="71"/>
      <c r="C1096" s="71"/>
      <c r="D1096" s="71"/>
      <c r="E1096" s="71"/>
      <c r="F1096" s="72"/>
      <c r="G1096" s="72"/>
      <c r="H1096" s="72"/>
      <c r="I1096" s="72"/>
      <c r="J1096" s="32"/>
      <c r="K1096" s="32"/>
    </row>
    <row r="1097" spans="1:11">
      <c r="A1097" s="70"/>
      <c r="B1097" s="71"/>
      <c r="C1097" s="71"/>
      <c r="D1097" s="71"/>
      <c r="E1097" s="71"/>
      <c r="F1097" s="72"/>
      <c r="G1097" s="72"/>
      <c r="H1097" s="72"/>
      <c r="I1097" s="72"/>
      <c r="J1097" s="32"/>
      <c r="K1097" s="32"/>
    </row>
    <row r="1098" spans="1:11">
      <c r="A1098" s="70"/>
      <c r="B1098" s="71"/>
      <c r="C1098" s="71"/>
      <c r="D1098" s="71"/>
      <c r="E1098" s="71"/>
      <c r="F1098" s="72"/>
      <c r="G1098" s="72"/>
      <c r="H1098" s="72"/>
      <c r="I1098" s="72"/>
      <c r="J1098" s="32"/>
      <c r="K1098" s="32"/>
    </row>
    <row r="1099" spans="1:11">
      <c r="A1099" s="70"/>
      <c r="B1099" s="71"/>
      <c r="C1099" s="71"/>
      <c r="D1099" s="71"/>
      <c r="E1099" s="71"/>
      <c r="F1099" s="72"/>
      <c r="G1099" s="72"/>
      <c r="H1099" s="72"/>
      <c r="I1099" s="72"/>
      <c r="J1099" s="32"/>
      <c r="K1099" s="32"/>
    </row>
    <row r="1100" spans="1:11">
      <c r="A1100" s="70"/>
      <c r="B1100" s="71"/>
      <c r="C1100" s="71"/>
      <c r="D1100" s="71"/>
      <c r="E1100" s="71"/>
      <c r="F1100" s="72"/>
      <c r="G1100" s="72"/>
      <c r="H1100" s="72"/>
      <c r="I1100" s="72"/>
      <c r="J1100" s="32"/>
      <c r="K1100" s="32"/>
    </row>
    <row r="1101" spans="1:11">
      <c r="A1101" s="70"/>
      <c r="B1101" s="71"/>
      <c r="C1101" s="71"/>
      <c r="D1101" s="71"/>
      <c r="E1101" s="71"/>
      <c r="F1101" s="72"/>
      <c r="G1101" s="72"/>
      <c r="H1101" s="72"/>
      <c r="I1101" s="72"/>
      <c r="J1101" s="32"/>
      <c r="K1101" s="32"/>
    </row>
    <row r="1102" spans="1:11">
      <c r="A1102" s="70"/>
      <c r="B1102" s="71"/>
      <c r="C1102" s="71"/>
      <c r="D1102" s="71"/>
      <c r="E1102" s="71"/>
      <c r="F1102" s="72"/>
      <c r="G1102" s="72"/>
      <c r="H1102" s="72"/>
      <c r="I1102" s="72"/>
      <c r="J1102" s="32"/>
      <c r="K1102" s="32"/>
    </row>
    <row r="1103" spans="1:11">
      <c r="A1103" s="70"/>
      <c r="B1103" s="71"/>
      <c r="C1103" s="71"/>
      <c r="D1103" s="71"/>
      <c r="E1103" s="71"/>
      <c r="F1103" s="72"/>
      <c r="G1103" s="72"/>
      <c r="H1103" s="72"/>
      <c r="I1103" s="72"/>
      <c r="J1103" s="32"/>
      <c r="K1103" s="32"/>
    </row>
    <row r="1104" spans="1:11">
      <c r="A1104" s="70"/>
      <c r="B1104" s="71"/>
      <c r="C1104" s="71"/>
      <c r="D1104" s="71"/>
      <c r="E1104" s="71"/>
      <c r="F1104" s="72"/>
      <c r="G1104" s="72"/>
      <c r="H1104" s="72"/>
      <c r="I1104" s="72"/>
      <c r="J1104" s="32"/>
      <c r="K1104" s="32"/>
    </row>
    <row r="1105" spans="1:11">
      <c r="A1105" s="70"/>
      <c r="B1105" s="71"/>
      <c r="C1105" s="71"/>
      <c r="D1105" s="71"/>
      <c r="E1105" s="71"/>
      <c r="F1105" s="72"/>
      <c r="G1105" s="72"/>
      <c r="H1105" s="72"/>
      <c r="I1105" s="72"/>
      <c r="J1105" s="32"/>
      <c r="K1105" s="32"/>
    </row>
    <row r="1106" spans="1:11">
      <c r="A1106" s="70"/>
      <c r="B1106" s="71"/>
      <c r="C1106" s="71"/>
      <c r="D1106" s="71"/>
      <c r="E1106" s="71"/>
      <c r="F1106" s="72"/>
      <c r="G1106" s="72"/>
      <c r="H1106" s="72"/>
      <c r="I1106" s="72"/>
      <c r="J1106" s="32"/>
      <c r="K1106" s="32"/>
    </row>
    <row r="1107" spans="1:11">
      <c r="A1107" s="70"/>
      <c r="B1107" s="71"/>
      <c r="C1107" s="71"/>
      <c r="D1107" s="71"/>
      <c r="E1107" s="71"/>
      <c r="F1107" s="72"/>
      <c r="G1107" s="72"/>
      <c r="H1107" s="72"/>
      <c r="I1107" s="72"/>
      <c r="J1107" s="32"/>
      <c r="K1107" s="32"/>
    </row>
    <row r="1108" spans="1:11">
      <c r="A1108" s="71"/>
      <c r="B1108" s="71"/>
      <c r="C1108" s="71"/>
      <c r="D1108" s="71"/>
      <c r="E1108" s="71"/>
      <c r="F1108" s="72"/>
      <c r="G1108" s="72"/>
      <c r="H1108" s="72"/>
      <c r="I1108" s="72"/>
      <c r="J1108" s="32"/>
      <c r="K1108" s="32"/>
    </row>
    <row r="1109" spans="1:11">
      <c r="A1109" s="32"/>
      <c r="B1109" s="71"/>
      <c r="C1109" s="71"/>
      <c r="D1109" s="71"/>
      <c r="E1109" s="71"/>
      <c r="F1109" s="72"/>
      <c r="G1109" s="72"/>
      <c r="H1109" s="72"/>
      <c r="I1109" s="72"/>
      <c r="J1109" s="32"/>
      <c r="K1109" s="32"/>
    </row>
    <row r="1110" spans="1:11">
      <c r="A1110" s="32"/>
      <c r="B1110" s="71"/>
      <c r="C1110" s="71"/>
      <c r="D1110" s="71"/>
      <c r="E1110" s="71"/>
      <c r="F1110" s="73"/>
      <c r="G1110" s="73"/>
      <c r="H1110" s="73"/>
      <c r="I1110" s="73"/>
      <c r="J1110" s="32"/>
      <c r="K1110" s="32"/>
    </row>
    <row r="1111" spans="1:11">
      <c r="A1111" s="32"/>
      <c r="B1111" s="71"/>
      <c r="C1111" s="71"/>
      <c r="D1111" s="71"/>
      <c r="E1111" s="71"/>
      <c r="F1111" s="73"/>
      <c r="G1111" s="73"/>
      <c r="H1111" s="73"/>
      <c r="I1111" s="73"/>
      <c r="J1111" s="32"/>
      <c r="K1111" s="32"/>
    </row>
    <row r="1112" spans="1:11">
      <c r="A1112" s="32"/>
      <c r="B1112" s="71"/>
      <c r="C1112" s="71"/>
      <c r="D1112" s="71"/>
      <c r="E1112" s="71"/>
      <c r="F1112" s="73"/>
      <c r="G1112" s="73"/>
      <c r="H1112" s="73"/>
      <c r="I1112" s="73"/>
      <c r="J1112" s="32"/>
      <c r="K1112" s="32"/>
    </row>
    <row r="1113" spans="1:11">
      <c r="A1113" s="32"/>
      <c r="B1113" s="71"/>
      <c r="C1113" s="71"/>
      <c r="D1113" s="71"/>
      <c r="E1113" s="71"/>
      <c r="F1113" s="46"/>
      <c r="G1113" s="46"/>
      <c r="H1113" s="46"/>
      <c r="I1113" s="46"/>
      <c r="J1113" s="32"/>
      <c r="K1113" s="32"/>
    </row>
    <row r="1114" spans="1:11">
      <c r="A1114" s="32"/>
      <c r="B1114" s="71"/>
      <c r="C1114" s="71"/>
      <c r="D1114" s="71"/>
      <c r="E1114" s="71"/>
      <c r="F1114" s="46"/>
      <c r="G1114" s="46"/>
      <c r="H1114" s="46"/>
      <c r="I1114" s="46"/>
      <c r="J1114" s="32"/>
      <c r="K1114" s="32"/>
    </row>
    <row r="1115" spans="1:11">
      <c r="A1115" s="32"/>
      <c r="B1115" s="71"/>
      <c r="C1115" s="71"/>
      <c r="D1115" s="71"/>
      <c r="E1115" s="71"/>
      <c r="F1115" s="46"/>
      <c r="G1115" s="46"/>
      <c r="H1115" s="46"/>
      <c r="I1115" s="46"/>
      <c r="J1115" s="32"/>
      <c r="K1115" s="32"/>
    </row>
    <row r="1116" spans="1:11">
      <c r="A1116" s="32"/>
      <c r="B1116" s="71"/>
      <c r="C1116" s="71"/>
      <c r="D1116" s="71"/>
      <c r="E1116" s="71"/>
      <c r="F1116" s="46"/>
      <c r="G1116" s="46"/>
      <c r="H1116" s="46"/>
      <c r="I1116" s="46"/>
      <c r="J1116" s="32"/>
      <c r="K1116" s="32"/>
    </row>
    <row r="1117" spans="1:11">
      <c r="A1117" s="32"/>
      <c r="B1117" s="71"/>
      <c r="C1117" s="71"/>
      <c r="D1117" s="71"/>
      <c r="E1117" s="71"/>
      <c r="F1117" s="46"/>
      <c r="G1117" s="46"/>
      <c r="H1117" s="46"/>
      <c r="I1117" s="46"/>
      <c r="J1117" s="32"/>
      <c r="K1117" s="32"/>
    </row>
    <row r="1118" spans="1:11">
      <c r="A1118" s="32"/>
      <c r="B1118" s="71"/>
      <c r="C1118" s="71"/>
      <c r="D1118" s="71"/>
      <c r="E1118" s="71"/>
      <c r="F1118" s="46"/>
      <c r="G1118" s="46"/>
      <c r="H1118" s="46"/>
      <c r="I1118" s="46"/>
      <c r="J1118" s="32"/>
      <c r="K1118" s="32"/>
    </row>
    <row r="1119" spans="1:11">
      <c r="A1119" s="32"/>
      <c r="B1119" s="71"/>
      <c r="C1119" s="71"/>
      <c r="D1119" s="71"/>
      <c r="E1119" s="71"/>
      <c r="F1119" s="46"/>
      <c r="G1119" s="46"/>
      <c r="H1119" s="46"/>
      <c r="I1119" s="46"/>
      <c r="J1119" s="32"/>
      <c r="K1119" s="32"/>
    </row>
    <row r="1120" spans="1:11">
      <c r="A1120" s="32"/>
      <c r="B1120" s="71"/>
      <c r="C1120" s="71"/>
      <c r="D1120" s="71"/>
      <c r="E1120" s="71"/>
      <c r="F1120" s="46"/>
      <c r="G1120" s="46"/>
      <c r="H1120" s="46"/>
      <c r="I1120" s="46"/>
      <c r="J1120" s="32"/>
      <c r="K1120" s="32"/>
    </row>
    <row r="1121" spans="1:11">
      <c r="A1121" s="32"/>
      <c r="B1121" s="71"/>
      <c r="C1121" s="71"/>
      <c r="D1121" s="71"/>
      <c r="E1121" s="71"/>
      <c r="F1121" s="46"/>
      <c r="G1121" s="46"/>
      <c r="H1121" s="46"/>
      <c r="I1121" s="46"/>
      <c r="J1121" s="32"/>
      <c r="K1121" s="32"/>
    </row>
    <row r="1122" spans="1:11">
      <c r="A1122" s="32"/>
      <c r="B1122" s="71"/>
      <c r="C1122" s="71"/>
      <c r="D1122" s="71"/>
      <c r="E1122" s="71"/>
      <c r="F1122" s="46"/>
      <c r="G1122" s="46"/>
      <c r="H1122" s="46"/>
      <c r="I1122" s="46"/>
      <c r="J1122" s="32"/>
      <c r="K1122" s="32"/>
    </row>
    <row r="1123" spans="1:11">
      <c r="A1123" s="32"/>
      <c r="B1123" s="71"/>
      <c r="C1123" s="71"/>
      <c r="D1123" s="71"/>
      <c r="E1123" s="71"/>
      <c r="F1123" s="46"/>
      <c r="G1123" s="46"/>
      <c r="H1123" s="46"/>
      <c r="I1123" s="46"/>
      <c r="J1123" s="32"/>
      <c r="K1123" s="32"/>
    </row>
  </sheetData>
  <pageMargins left="0.70866141732283472" right="0.70866141732283472" top="0.74803149606299213" bottom="0.74803149606299213" header="0.31496062992125984" footer="0.31496062992125984"/>
  <pageSetup paperSize="9" scale="32" orientation="portrait" r:id="rId1"/>
  <rowBreaks count="22" manualBreakCount="22">
    <brk id="61" max="16383" man="1"/>
    <brk id="114" max="16383" man="1"/>
    <brk id="180" max="7" man="1"/>
    <brk id="224" max="7" man="1"/>
    <brk id="284" max="7" man="1"/>
    <brk id="319" max="7" man="1"/>
    <brk id="357" max="7" man="1"/>
    <brk id="403" max="7" man="1"/>
    <brk id="440" max="7" man="1"/>
    <brk id="494" max="7" man="1"/>
    <brk id="537" max="7" man="1"/>
    <brk id="580" max="7" man="1"/>
    <brk id="612" max="7" man="1"/>
    <brk id="637" max="7" man="1"/>
    <brk id="688" max="7" man="1"/>
    <brk id="746" max="7" man="1"/>
    <brk id="791" max="7" man="1"/>
    <brk id="832" max="7" man="1"/>
    <brk id="864" max="7" man="1"/>
    <brk id="939" max="7" man="1"/>
    <brk id="974" max="7" man="1"/>
    <brk id="1018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92"/>
  <sheetViews>
    <sheetView topLeftCell="A52" workbookViewId="0">
      <selection activeCell="I38" sqref="I38"/>
    </sheetView>
  </sheetViews>
  <sheetFormatPr defaultRowHeight="14.25"/>
  <cols>
    <col min="1" max="1" width="2.33203125" style="358" customWidth="1"/>
    <col min="2" max="2" width="32" style="386" customWidth="1"/>
    <col min="3" max="3" width="14.88671875" style="358" customWidth="1"/>
    <col min="4" max="4" width="14.6640625" style="358" customWidth="1"/>
    <col min="5" max="5" width="14.33203125" style="358" customWidth="1"/>
    <col min="6" max="6" width="14.44140625" style="358" customWidth="1"/>
    <col min="7" max="7" width="15.44140625" style="358" customWidth="1"/>
    <col min="8" max="8" width="13.33203125" style="358" customWidth="1"/>
    <col min="9" max="9" width="14.6640625" style="358" customWidth="1"/>
    <col min="10" max="10" width="16.109375" style="358" customWidth="1"/>
    <col min="11" max="11" width="14.44140625" style="358" customWidth="1"/>
    <col min="12" max="14" width="8.88671875" style="358"/>
    <col min="15" max="15" width="15.44140625" style="358" bestFit="1" customWidth="1"/>
    <col min="16" max="256" width="8.88671875" style="358"/>
    <col min="257" max="257" width="2.33203125" style="358" customWidth="1"/>
    <col min="258" max="258" width="32" style="358" customWidth="1"/>
    <col min="259" max="259" width="14.88671875" style="358" customWidth="1"/>
    <col min="260" max="260" width="14.6640625" style="358" customWidth="1"/>
    <col min="261" max="261" width="14.33203125" style="358" customWidth="1"/>
    <col min="262" max="262" width="14.44140625" style="358" customWidth="1"/>
    <col min="263" max="263" width="15.44140625" style="358" customWidth="1"/>
    <col min="264" max="264" width="13.33203125" style="358" customWidth="1"/>
    <col min="265" max="265" width="14.6640625" style="358" customWidth="1"/>
    <col min="266" max="266" width="16.109375" style="358" customWidth="1"/>
    <col min="267" max="267" width="14.44140625" style="358" customWidth="1"/>
    <col min="268" max="270" width="8.88671875" style="358"/>
    <col min="271" max="271" width="15.44140625" style="358" bestFit="1" customWidth="1"/>
    <col min="272" max="512" width="8.88671875" style="358"/>
    <col min="513" max="513" width="2.33203125" style="358" customWidth="1"/>
    <col min="514" max="514" width="32" style="358" customWidth="1"/>
    <col min="515" max="515" width="14.88671875" style="358" customWidth="1"/>
    <col min="516" max="516" width="14.6640625" style="358" customWidth="1"/>
    <col min="517" max="517" width="14.33203125" style="358" customWidth="1"/>
    <col min="518" max="518" width="14.44140625" style="358" customWidth="1"/>
    <col min="519" max="519" width="15.44140625" style="358" customWidth="1"/>
    <col min="520" max="520" width="13.33203125" style="358" customWidth="1"/>
    <col min="521" max="521" width="14.6640625" style="358" customWidth="1"/>
    <col min="522" max="522" width="16.109375" style="358" customWidth="1"/>
    <col min="523" max="523" width="14.44140625" style="358" customWidth="1"/>
    <col min="524" max="526" width="8.88671875" style="358"/>
    <col min="527" max="527" width="15.44140625" style="358" bestFit="1" customWidth="1"/>
    <col min="528" max="768" width="8.88671875" style="358"/>
    <col min="769" max="769" width="2.33203125" style="358" customWidth="1"/>
    <col min="770" max="770" width="32" style="358" customWidth="1"/>
    <col min="771" max="771" width="14.88671875" style="358" customWidth="1"/>
    <col min="772" max="772" width="14.6640625" style="358" customWidth="1"/>
    <col min="773" max="773" width="14.33203125" style="358" customWidth="1"/>
    <col min="774" max="774" width="14.44140625" style="358" customWidth="1"/>
    <col min="775" max="775" width="15.44140625" style="358" customWidth="1"/>
    <col min="776" max="776" width="13.33203125" style="358" customWidth="1"/>
    <col min="777" max="777" width="14.6640625" style="358" customWidth="1"/>
    <col min="778" max="778" width="16.109375" style="358" customWidth="1"/>
    <col min="779" max="779" width="14.44140625" style="358" customWidth="1"/>
    <col min="780" max="782" width="8.88671875" style="358"/>
    <col min="783" max="783" width="15.44140625" style="358" bestFit="1" customWidth="1"/>
    <col min="784" max="1024" width="8.88671875" style="358"/>
    <col min="1025" max="1025" width="2.33203125" style="358" customWidth="1"/>
    <col min="1026" max="1026" width="32" style="358" customWidth="1"/>
    <col min="1027" max="1027" width="14.88671875" style="358" customWidth="1"/>
    <col min="1028" max="1028" width="14.6640625" style="358" customWidth="1"/>
    <col min="1029" max="1029" width="14.33203125" style="358" customWidth="1"/>
    <col min="1030" max="1030" width="14.44140625" style="358" customWidth="1"/>
    <col min="1031" max="1031" width="15.44140625" style="358" customWidth="1"/>
    <col min="1032" max="1032" width="13.33203125" style="358" customWidth="1"/>
    <col min="1033" max="1033" width="14.6640625" style="358" customWidth="1"/>
    <col min="1034" max="1034" width="16.109375" style="358" customWidth="1"/>
    <col min="1035" max="1035" width="14.44140625" style="358" customWidth="1"/>
    <col min="1036" max="1038" width="8.88671875" style="358"/>
    <col min="1039" max="1039" width="15.44140625" style="358" bestFit="1" customWidth="1"/>
    <col min="1040" max="1280" width="8.88671875" style="358"/>
    <col min="1281" max="1281" width="2.33203125" style="358" customWidth="1"/>
    <col min="1282" max="1282" width="32" style="358" customWidth="1"/>
    <col min="1283" max="1283" width="14.88671875" style="358" customWidth="1"/>
    <col min="1284" max="1284" width="14.6640625" style="358" customWidth="1"/>
    <col min="1285" max="1285" width="14.33203125" style="358" customWidth="1"/>
    <col min="1286" max="1286" width="14.44140625" style="358" customWidth="1"/>
    <col min="1287" max="1287" width="15.44140625" style="358" customWidth="1"/>
    <col min="1288" max="1288" width="13.33203125" style="358" customWidth="1"/>
    <col min="1289" max="1289" width="14.6640625" style="358" customWidth="1"/>
    <col min="1290" max="1290" width="16.109375" style="358" customWidth="1"/>
    <col min="1291" max="1291" width="14.44140625" style="358" customWidth="1"/>
    <col min="1292" max="1294" width="8.88671875" style="358"/>
    <col min="1295" max="1295" width="15.44140625" style="358" bestFit="1" customWidth="1"/>
    <col min="1296" max="1536" width="8.88671875" style="358"/>
    <col min="1537" max="1537" width="2.33203125" style="358" customWidth="1"/>
    <col min="1538" max="1538" width="32" style="358" customWidth="1"/>
    <col min="1539" max="1539" width="14.88671875" style="358" customWidth="1"/>
    <col min="1540" max="1540" width="14.6640625" style="358" customWidth="1"/>
    <col min="1541" max="1541" width="14.33203125" style="358" customWidth="1"/>
    <col min="1542" max="1542" width="14.44140625" style="358" customWidth="1"/>
    <col min="1543" max="1543" width="15.44140625" style="358" customWidth="1"/>
    <col min="1544" max="1544" width="13.33203125" style="358" customWidth="1"/>
    <col min="1545" max="1545" width="14.6640625" style="358" customWidth="1"/>
    <col min="1546" max="1546" width="16.109375" style="358" customWidth="1"/>
    <col min="1547" max="1547" width="14.44140625" style="358" customWidth="1"/>
    <col min="1548" max="1550" width="8.88671875" style="358"/>
    <col min="1551" max="1551" width="15.44140625" style="358" bestFit="1" customWidth="1"/>
    <col min="1552" max="1792" width="8.88671875" style="358"/>
    <col min="1793" max="1793" width="2.33203125" style="358" customWidth="1"/>
    <col min="1794" max="1794" width="32" style="358" customWidth="1"/>
    <col min="1795" max="1795" width="14.88671875" style="358" customWidth="1"/>
    <col min="1796" max="1796" width="14.6640625" style="358" customWidth="1"/>
    <col min="1797" max="1797" width="14.33203125" style="358" customWidth="1"/>
    <col min="1798" max="1798" width="14.44140625" style="358" customWidth="1"/>
    <col min="1799" max="1799" width="15.44140625" style="358" customWidth="1"/>
    <col min="1800" max="1800" width="13.33203125" style="358" customWidth="1"/>
    <col min="1801" max="1801" width="14.6640625" style="358" customWidth="1"/>
    <col min="1802" max="1802" width="16.109375" style="358" customWidth="1"/>
    <col min="1803" max="1803" width="14.44140625" style="358" customWidth="1"/>
    <col min="1804" max="1806" width="8.88671875" style="358"/>
    <col min="1807" max="1807" width="15.44140625" style="358" bestFit="1" customWidth="1"/>
    <col min="1808" max="2048" width="8.88671875" style="358"/>
    <col min="2049" max="2049" width="2.33203125" style="358" customWidth="1"/>
    <col min="2050" max="2050" width="32" style="358" customWidth="1"/>
    <col min="2051" max="2051" width="14.88671875" style="358" customWidth="1"/>
    <col min="2052" max="2052" width="14.6640625" style="358" customWidth="1"/>
    <col min="2053" max="2053" width="14.33203125" style="358" customWidth="1"/>
    <col min="2054" max="2054" width="14.44140625" style="358" customWidth="1"/>
    <col min="2055" max="2055" width="15.44140625" style="358" customWidth="1"/>
    <col min="2056" max="2056" width="13.33203125" style="358" customWidth="1"/>
    <col min="2057" max="2057" width="14.6640625" style="358" customWidth="1"/>
    <col min="2058" max="2058" width="16.109375" style="358" customWidth="1"/>
    <col min="2059" max="2059" width="14.44140625" style="358" customWidth="1"/>
    <col min="2060" max="2062" width="8.88671875" style="358"/>
    <col min="2063" max="2063" width="15.44140625" style="358" bestFit="1" customWidth="1"/>
    <col min="2064" max="2304" width="8.88671875" style="358"/>
    <col min="2305" max="2305" width="2.33203125" style="358" customWidth="1"/>
    <col min="2306" max="2306" width="32" style="358" customWidth="1"/>
    <col min="2307" max="2307" width="14.88671875" style="358" customWidth="1"/>
    <col min="2308" max="2308" width="14.6640625" style="358" customWidth="1"/>
    <col min="2309" max="2309" width="14.33203125" style="358" customWidth="1"/>
    <col min="2310" max="2310" width="14.44140625" style="358" customWidth="1"/>
    <col min="2311" max="2311" width="15.44140625" style="358" customWidth="1"/>
    <col min="2312" max="2312" width="13.33203125" style="358" customWidth="1"/>
    <col min="2313" max="2313" width="14.6640625" style="358" customWidth="1"/>
    <col min="2314" max="2314" width="16.109375" style="358" customWidth="1"/>
    <col min="2315" max="2315" width="14.44140625" style="358" customWidth="1"/>
    <col min="2316" max="2318" width="8.88671875" style="358"/>
    <col min="2319" max="2319" width="15.44140625" style="358" bestFit="1" customWidth="1"/>
    <col min="2320" max="2560" width="8.88671875" style="358"/>
    <col min="2561" max="2561" width="2.33203125" style="358" customWidth="1"/>
    <col min="2562" max="2562" width="32" style="358" customWidth="1"/>
    <col min="2563" max="2563" width="14.88671875" style="358" customWidth="1"/>
    <col min="2564" max="2564" width="14.6640625" style="358" customWidth="1"/>
    <col min="2565" max="2565" width="14.33203125" style="358" customWidth="1"/>
    <col min="2566" max="2566" width="14.44140625" style="358" customWidth="1"/>
    <col min="2567" max="2567" width="15.44140625" style="358" customWidth="1"/>
    <col min="2568" max="2568" width="13.33203125" style="358" customWidth="1"/>
    <col min="2569" max="2569" width="14.6640625" style="358" customWidth="1"/>
    <col min="2570" max="2570" width="16.109375" style="358" customWidth="1"/>
    <col min="2571" max="2571" width="14.44140625" style="358" customWidth="1"/>
    <col min="2572" max="2574" width="8.88671875" style="358"/>
    <col min="2575" max="2575" width="15.44140625" style="358" bestFit="1" customWidth="1"/>
    <col min="2576" max="2816" width="8.88671875" style="358"/>
    <col min="2817" max="2817" width="2.33203125" style="358" customWidth="1"/>
    <col min="2818" max="2818" width="32" style="358" customWidth="1"/>
    <col min="2819" max="2819" width="14.88671875" style="358" customWidth="1"/>
    <col min="2820" max="2820" width="14.6640625" style="358" customWidth="1"/>
    <col min="2821" max="2821" width="14.33203125" style="358" customWidth="1"/>
    <col min="2822" max="2822" width="14.44140625" style="358" customWidth="1"/>
    <col min="2823" max="2823" width="15.44140625" style="358" customWidth="1"/>
    <col min="2824" max="2824" width="13.33203125" style="358" customWidth="1"/>
    <col min="2825" max="2825" width="14.6640625" style="358" customWidth="1"/>
    <col min="2826" max="2826" width="16.109375" style="358" customWidth="1"/>
    <col min="2827" max="2827" width="14.44140625" style="358" customWidth="1"/>
    <col min="2828" max="2830" width="8.88671875" style="358"/>
    <col min="2831" max="2831" width="15.44140625" style="358" bestFit="1" customWidth="1"/>
    <col min="2832" max="3072" width="8.88671875" style="358"/>
    <col min="3073" max="3073" width="2.33203125" style="358" customWidth="1"/>
    <col min="3074" max="3074" width="32" style="358" customWidth="1"/>
    <col min="3075" max="3075" width="14.88671875" style="358" customWidth="1"/>
    <col min="3076" max="3076" width="14.6640625" style="358" customWidth="1"/>
    <col min="3077" max="3077" width="14.33203125" style="358" customWidth="1"/>
    <col min="3078" max="3078" width="14.44140625" style="358" customWidth="1"/>
    <col min="3079" max="3079" width="15.44140625" style="358" customWidth="1"/>
    <col min="3080" max="3080" width="13.33203125" style="358" customWidth="1"/>
    <col min="3081" max="3081" width="14.6640625" style="358" customWidth="1"/>
    <col min="3082" max="3082" width="16.109375" style="358" customWidth="1"/>
    <col min="3083" max="3083" width="14.44140625" style="358" customWidth="1"/>
    <col min="3084" max="3086" width="8.88671875" style="358"/>
    <col min="3087" max="3087" width="15.44140625" style="358" bestFit="1" customWidth="1"/>
    <col min="3088" max="3328" width="8.88671875" style="358"/>
    <col min="3329" max="3329" width="2.33203125" style="358" customWidth="1"/>
    <col min="3330" max="3330" width="32" style="358" customWidth="1"/>
    <col min="3331" max="3331" width="14.88671875" style="358" customWidth="1"/>
    <col min="3332" max="3332" width="14.6640625" style="358" customWidth="1"/>
    <col min="3333" max="3333" width="14.33203125" style="358" customWidth="1"/>
    <col min="3334" max="3334" width="14.44140625" style="358" customWidth="1"/>
    <col min="3335" max="3335" width="15.44140625" style="358" customWidth="1"/>
    <col min="3336" max="3336" width="13.33203125" style="358" customWidth="1"/>
    <col min="3337" max="3337" width="14.6640625" style="358" customWidth="1"/>
    <col min="3338" max="3338" width="16.109375" style="358" customWidth="1"/>
    <col min="3339" max="3339" width="14.44140625" style="358" customWidth="1"/>
    <col min="3340" max="3342" width="8.88671875" style="358"/>
    <col min="3343" max="3343" width="15.44140625" style="358" bestFit="1" customWidth="1"/>
    <col min="3344" max="3584" width="8.88671875" style="358"/>
    <col min="3585" max="3585" width="2.33203125" style="358" customWidth="1"/>
    <col min="3586" max="3586" width="32" style="358" customWidth="1"/>
    <col min="3587" max="3587" width="14.88671875" style="358" customWidth="1"/>
    <col min="3588" max="3588" width="14.6640625" style="358" customWidth="1"/>
    <col min="3589" max="3589" width="14.33203125" style="358" customWidth="1"/>
    <col min="3590" max="3590" width="14.44140625" style="358" customWidth="1"/>
    <col min="3591" max="3591" width="15.44140625" style="358" customWidth="1"/>
    <col min="3592" max="3592" width="13.33203125" style="358" customWidth="1"/>
    <col min="3593" max="3593" width="14.6640625" style="358" customWidth="1"/>
    <col min="3594" max="3594" width="16.109375" style="358" customWidth="1"/>
    <col min="3595" max="3595" width="14.44140625" style="358" customWidth="1"/>
    <col min="3596" max="3598" width="8.88671875" style="358"/>
    <col min="3599" max="3599" width="15.44140625" style="358" bestFit="1" customWidth="1"/>
    <col min="3600" max="3840" width="8.88671875" style="358"/>
    <col min="3841" max="3841" width="2.33203125" style="358" customWidth="1"/>
    <col min="3842" max="3842" width="32" style="358" customWidth="1"/>
    <col min="3843" max="3843" width="14.88671875" style="358" customWidth="1"/>
    <col min="3844" max="3844" width="14.6640625" style="358" customWidth="1"/>
    <col min="3845" max="3845" width="14.33203125" style="358" customWidth="1"/>
    <col min="3846" max="3846" width="14.44140625" style="358" customWidth="1"/>
    <col min="3847" max="3847" width="15.44140625" style="358" customWidth="1"/>
    <col min="3848" max="3848" width="13.33203125" style="358" customWidth="1"/>
    <col min="3849" max="3849" width="14.6640625" style="358" customWidth="1"/>
    <col min="3850" max="3850" width="16.109375" style="358" customWidth="1"/>
    <col min="3851" max="3851" width="14.44140625" style="358" customWidth="1"/>
    <col min="3852" max="3854" width="8.88671875" style="358"/>
    <col min="3855" max="3855" width="15.44140625" style="358" bestFit="1" customWidth="1"/>
    <col min="3856" max="4096" width="8.88671875" style="358"/>
    <col min="4097" max="4097" width="2.33203125" style="358" customWidth="1"/>
    <col min="4098" max="4098" width="32" style="358" customWidth="1"/>
    <col min="4099" max="4099" width="14.88671875" style="358" customWidth="1"/>
    <col min="4100" max="4100" width="14.6640625" style="358" customWidth="1"/>
    <col min="4101" max="4101" width="14.33203125" style="358" customWidth="1"/>
    <col min="4102" max="4102" width="14.44140625" style="358" customWidth="1"/>
    <col min="4103" max="4103" width="15.44140625" style="358" customWidth="1"/>
    <col min="4104" max="4104" width="13.33203125" style="358" customWidth="1"/>
    <col min="4105" max="4105" width="14.6640625" style="358" customWidth="1"/>
    <col min="4106" max="4106" width="16.109375" style="358" customWidth="1"/>
    <col min="4107" max="4107" width="14.44140625" style="358" customWidth="1"/>
    <col min="4108" max="4110" width="8.88671875" style="358"/>
    <col min="4111" max="4111" width="15.44140625" style="358" bestFit="1" customWidth="1"/>
    <col min="4112" max="4352" width="8.88671875" style="358"/>
    <col min="4353" max="4353" width="2.33203125" style="358" customWidth="1"/>
    <col min="4354" max="4354" width="32" style="358" customWidth="1"/>
    <col min="4355" max="4355" width="14.88671875" style="358" customWidth="1"/>
    <col min="4356" max="4356" width="14.6640625" style="358" customWidth="1"/>
    <col min="4357" max="4357" width="14.33203125" style="358" customWidth="1"/>
    <col min="4358" max="4358" width="14.44140625" style="358" customWidth="1"/>
    <col min="4359" max="4359" width="15.44140625" style="358" customWidth="1"/>
    <col min="4360" max="4360" width="13.33203125" style="358" customWidth="1"/>
    <col min="4361" max="4361" width="14.6640625" style="358" customWidth="1"/>
    <col min="4362" max="4362" width="16.109375" style="358" customWidth="1"/>
    <col min="4363" max="4363" width="14.44140625" style="358" customWidth="1"/>
    <col min="4364" max="4366" width="8.88671875" style="358"/>
    <col min="4367" max="4367" width="15.44140625" style="358" bestFit="1" customWidth="1"/>
    <col min="4368" max="4608" width="8.88671875" style="358"/>
    <col min="4609" max="4609" width="2.33203125" style="358" customWidth="1"/>
    <col min="4610" max="4610" width="32" style="358" customWidth="1"/>
    <col min="4611" max="4611" width="14.88671875" style="358" customWidth="1"/>
    <col min="4612" max="4612" width="14.6640625" style="358" customWidth="1"/>
    <col min="4613" max="4613" width="14.33203125" style="358" customWidth="1"/>
    <col min="4614" max="4614" width="14.44140625" style="358" customWidth="1"/>
    <col min="4615" max="4615" width="15.44140625" style="358" customWidth="1"/>
    <col min="4616" max="4616" width="13.33203125" style="358" customWidth="1"/>
    <col min="4617" max="4617" width="14.6640625" style="358" customWidth="1"/>
    <col min="4618" max="4618" width="16.109375" style="358" customWidth="1"/>
    <col min="4619" max="4619" width="14.44140625" style="358" customWidth="1"/>
    <col min="4620" max="4622" width="8.88671875" style="358"/>
    <col min="4623" max="4623" width="15.44140625" style="358" bestFit="1" customWidth="1"/>
    <col min="4624" max="4864" width="8.88671875" style="358"/>
    <col min="4865" max="4865" width="2.33203125" style="358" customWidth="1"/>
    <col min="4866" max="4866" width="32" style="358" customWidth="1"/>
    <col min="4867" max="4867" width="14.88671875" style="358" customWidth="1"/>
    <col min="4868" max="4868" width="14.6640625" style="358" customWidth="1"/>
    <col min="4869" max="4869" width="14.33203125" style="358" customWidth="1"/>
    <col min="4870" max="4870" width="14.44140625" style="358" customWidth="1"/>
    <col min="4871" max="4871" width="15.44140625" style="358" customWidth="1"/>
    <col min="4872" max="4872" width="13.33203125" style="358" customWidth="1"/>
    <col min="4873" max="4873" width="14.6640625" style="358" customWidth="1"/>
    <col min="4874" max="4874" width="16.109375" style="358" customWidth="1"/>
    <col min="4875" max="4875" width="14.44140625" style="358" customWidth="1"/>
    <col min="4876" max="4878" width="8.88671875" style="358"/>
    <col min="4879" max="4879" width="15.44140625" style="358" bestFit="1" customWidth="1"/>
    <col min="4880" max="5120" width="8.88671875" style="358"/>
    <col min="5121" max="5121" width="2.33203125" style="358" customWidth="1"/>
    <col min="5122" max="5122" width="32" style="358" customWidth="1"/>
    <col min="5123" max="5123" width="14.88671875" style="358" customWidth="1"/>
    <col min="5124" max="5124" width="14.6640625" style="358" customWidth="1"/>
    <col min="5125" max="5125" width="14.33203125" style="358" customWidth="1"/>
    <col min="5126" max="5126" width="14.44140625" style="358" customWidth="1"/>
    <col min="5127" max="5127" width="15.44140625" style="358" customWidth="1"/>
    <col min="5128" max="5128" width="13.33203125" style="358" customWidth="1"/>
    <col min="5129" max="5129" width="14.6640625" style="358" customWidth="1"/>
    <col min="5130" max="5130" width="16.109375" style="358" customWidth="1"/>
    <col min="5131" max="5131" width="14.44140625" style="358" customWidth="1"/>
    <col min="5132" max="5134" width="8.88671875" style="358"/>
    <col min="5135" max="5135" width="15.44140625" style="358" bestFit="1" customWidth="1"/>
    <col min="5136" max="5376" width="8.88671875" style="358"/>
    <col min="5377" max="5377" width="2.33203125" style="358" customWidth="1"/>
    <col min="5378" max="5378" width="32" style="358" customWidth="1"/>
    <col min="5379" max="5379" width="14.88671875" style="358" customWidth="1"/>
    <col min="5380" max="5380" width="14.6640625" style="358" customWidth="1"/>
    <col min="5381" max="5381" width="14.33203125" style="358" customWidth="1"/>
    <col min="5382" max="5382" width="14.44140625" style="358" customWidth="1"/>
    <col min="5383" max="5383" width="15.44140625" style="358" customWidth="1"/>
    <col min="5384" max="5384" width="13.33203125" style="358" customWidth="1"/>
    <col min="5385" max="5385" width="14.6640625" style="358" customWidth="1"/>
    <col min="5386" max="5386" width="16.109375" style="358" customWidth="1"/>
    <col min="5387" max="5387" width="14.44140625" style="358" customWidth="1"/>
    <col min="5388" max="5390" width="8.88671875" style="358"/>
    <col min="5391" max="5391" width="15.44140625" style="358" bestFit="1" customWidth="1"/>
    <col min="5392" max="5632" width="8.88671875" style="358"/>
    <col min="5633" max="5633" width="2.33203125" style="358" customWidth="1"/>
    <col min="5634" max="5634" width="32" style="358" customWidth="1"/>
    <col min="5635" max="5635" width="14.88671875" style="358" customWidth="1"/>
    <col min="5636" max="5636" width="14.6640625" style="358" customWidth="1"/>
    <col min="5637" max="5637" width="14.33203125" style="358" customWidth="1"/>
    <col min="5638" max="5638" width="14.44140625" style="358" customWidth="1"/>
    <col min="5639" max="5639" width="15.44140625" style="358" customWidth="1"/>
    <col min="5640" max="5640" width="13.33203125" style="358" customWidth="1"/>
    <col min="5641" max="5641" width="14.6640625" style="358" customWidth="1"/>
    <col min="5642" max="5642" width="16.109375" style="358" customWidth="1"/>
    <col min="5643" max="5643" width="14.44140625" style="358" customWidth="1"/>
    <col min="5644" max="5646" width="8.88671875" style="358"/>
    <col min="5647" max="5647" width="15.44140625" style="358" bestFit="1" customWidth="1"/>
    <col min="5648" max="5888" width="8.88671875" style="358"/>
    <col min="5889" max="5889" width="2.33203125" style="358" customWidth="1"/>
    <col min="5890" max="5890" width="32" style="358" customWidth="1"/>
    <col min="5891" max="5891" width="14.88671875" style="358" customWidth="1"/>
    <col min="5892" max="5892" width="14.6640625" style="358" customWidth="1"/>
    <col min="5893" max="5893" width="14.33203125" style="358" customWidth="1"/>
    <col min="5894" max="5894" width="14.44140625" style="358" customWidth="1"/>
    <col min="5895" max="5895" width="15.44140625" style="358" customWidth="1"/>
    <col min="5896" max="5896" width="13.33203125" style="358" customWidth="1"/>
    <col min="5897" max="5897" width="14.6640625" style="358" customWidth="1"/>
    <col min="5898" max="5898" width="16.109375" style="358" customWidth="1"/>
    <col min="5899" max="5899" width="14.44140625" style="358" customWidth="1"/>
    <col min="5900" max="5902" width="8.88671875" style="358"/>
    <col min="5903" max="5903" width="15.44140625" style="358" bestFit="1" customWidth="1"/>
    <col min="5904" max="6144" width="8.88671875" style="358"/>
    <col min="6145" max="6145" width="2.33203125" style="358" customWidth="1"/>
    <col min="6146" max="6146" width="32" style="358" customWidth="1"/>
    <col min="6147" max="6147" width="14.88671875" style="358" customWidth="1"/>
    <col min="6148" max="6148" width="14.6640625" style="358" customWidth="1"/>
    <col min="6149" max="6149" width="14.33203125" style="358" customWidth="1"/>
    <col min="6150" max="6150" width="14.44140625" style="358" customWidth="1"/>
    <col min="6151" max="6151" width="15.44140625" style="358" customWidth="1"/>
    <col min="6152" max="6152" width="13.33203125" style="358" customWidth="1"/>
    <col min="6153" max="6153" width="14.6640625" style="358" customWidth="1"/>
    <col min="6154" max="6154" width="16.109375" style="358" customWidth="1"/>
    <col min="6155" max="6155" width="14.44140625" style="358" customWidth="1"/>
    <col min="6156" max="6158" width="8.88671875" style="358"/>
    <col min="6159" max="6159" width="15.44140625" style="358" bestFit="1" customWidth="1"/>
    <col min="6160" max="6400" width="8.88671875" style="358"/>
    <col min="6401" max="6401" width="2.33203125" style="358" customWidth="1"/>
    <col min="6402" max="6402" width="32" style="358" customWidth="1"/>
    <col min="6403" max="6403" width="14.88671875" style="358" customWidth="1"/>
    <col min="6404" max="6404" width="14.6640625" style="358" customWidth="1"/>
    <col min="6405" max="6405" width="14.33203125" style="358" customWidth="1"/>
    <col min="6406" max="6406" width="14.44140625" style="358" customWidth="1"/>
    <col min="6407" max="6407" width="15.44140625" style="358" customWidth="1"/>
    <col min="6408" max="6408" width="13.33203125" style="358" customWidth="1"/>
    <col min="6409" max="6409" width="14.6640625" style="358" customWidth="1"/>
    <col min="6410" max="6410" width="16.109375" style="358" customWidth="1"/>
    <col min="6411" max="6411" width="14.44140625" style="358" customWidth="1"/>
    <col min="6412" max="6414" width="8.88671875" style="358"/>
    <col min="6415" max="6415" width="15.44140625" style="358" bestFit="1" customWidth="1"/>
    <col min="6416" max="6656" width="8.88671875" style="358"/>
    <col min="6657" max="6657" width="2.33203125" style="358" customWidth="1"/>
    <col min="6658" max="6658" width="32" style="358" customWidth="1"/>
    <col min="6659" max="6659" width="14.88671875" style="358" customWidth="1"/>
    <col min="6660" max="6660" width="14.6640625" style="358" customWidth="1"/>
    <col min="6661" max="6661" width="14.33203125" style="358" customWidth="1"/>
    <col min="6662" max="6662" width="14.44140625" style="358" customWidth="1"/>
    <col min="6663" max="6663" width="15.44140625" style="358" customWidth="1"/>
    <col min="6664" max="6664" width="13.33203125" style="358" customWidth="1"/>
    <col min="6665" max="6665" width="14.6640625" style="358" customWidth="1"/>
    <col min="6666" max="6666" width="16.109375" style="358" customWidth="1"/>
    <col min="6667" max="6667" width="14.44140625" style="358" customWidth="1"/>
    <col min="6668" max="6670" width="8.88671875" style="358"/>
    <col min="6671" max="6671" width="15.44140625" style="358" bestFit="1" customWidth="1"/>
    <col min="6672" max="6912" width="8.88671875" style="358"/>
    <col min="6913" max="6913" width="2.33203125" style="358" customWidth="1"/>
    <col min="6914" max="6914" width="32" style="358" customWidth="1"/>
    <col min="6915" max="6915" width="14.88671875" style="358" customWidth="1"/>
    <col min="6916" max="6916" width="14.6640625" style="358" customWidth="1"/>
    <col min="6917" max="6917" width="14.33203125" style="358" customWidth="1"/>
    <col min="6918" max="6918" width="14.44140625" style="358" customWidth="1"/>
    <col min="6919" max="6919" width="15.44140625" style="358" customWidth="1"/>
    <col min="6920" max="6920" width="13.33203125" style="358" customWidth="1"/>
    <col min="6921" max="6921" width="14.6640625" style="358" customWidth="1"/>
    <col min="6922" max="6922" width="16.109375" style="358" customWidth="1"/>
    <col min="6923" max="6923" width="14.44140625" style="358" customWidth="1"/>
    <col min="6924" max="6926" width="8.88671875" style="358"/>
    <col min="6927" max="6927" width="15.44140625" style="358" bestFit="1" customWidth="1"/>
    <col min="6928" max="7168" width="8.88671875" style="358"/>
    <col min="7169" max="7169" width="2.33203125" style="358" customWidth="1"/>
    <col min="7170" max="7170" width="32" style="358" customWidth="1"/>
    <col min="7171" max="7171" width="14.88671875" style="358" customWidth="1"/>
    <col min="7172" max="7172" width="14.6640625" style="358" customWidth="1"/>
    <col min="7173" max="7173" width="14.33203125" style="358" customWidth="1"/>
    <col min="7174" max="7174" width="14.44140625" style="358" customWidth="1"/>
    <col min="7175" max="7175" width="15.44140625" style="358" customWidth="1"/>
    <col min="7176" max="7176" width="13.33203125" style="358" customWidth="1"/>
    <col min="7177" max="7177" width="14.6640625" style="358" customWidth="1"/>
    <col min="7178" max="7178" width="16.109375" style="358" customWidth="1"/>
    <col min="7179" max="7179" width="14.44140625" style="358" customWidth="1"/>
    <col min="7180" max="7182" width="8.88671875" style="358"/>
    <col min="7183" max="7183" width="15.44140625" style="358" bestFit="1" customWidth="1"/>
    <col min="7184" max="7424" width="8.88671875" style="358"/>
    <col min="7425" max="7425" width="2.33203125" style="358" customWidth="1"/>
    <col min="7426" max="7426" width="32" style="358" customWidth="1"/>
    <col min="7427" max="7427" width="14.88671875" style="358" customWidth="1"/>
    <col min="7428" max="7428" width="14.6640625" style="358" customWidth="1"/>
    <col min="7429" max="7429" width="14.33203125" style="358" customWidth="1"/>
    <col min="7430" max="7430" width="14.44140625" style="358" customWidth="1"/>
    <col min="7431" max="7431" width="15.44140625" style="358" customWidth="1"/>
    <col min="7432" max="7432" width="13.33203125" style="358" customWidth="1"/>
    <col min="7433" max="7433" width="14.6640625" style="358" customWidth="1"/>
    <col min="7434" max="7434" width="16.109375" style="358" customWidth="1"/>
    <col min="7435" max="7435" width="14.44140625" style="358" customWidth="1"/>
    <col min="7436" max="7438" width="8.88671875" style="358"/>
    <col min="7439" max="7439" width="15.44140625" style="358" bestFit="1" customWidth="1"/>
    <col min="7440" max="7680" width="8.88671875" style="358"/>
    <col min="7681" max="7681" width="2.33203125" style="358" customWidth="1"/>
    <col min="7682" max="7682" width="32" style="358" customWidth="1"/>
    <col min="7683" max="7683" width="14.88671875" style="358" customWidth="1"/>
    <col min="7684" max="7684" width="14.6640625" style="358" customWidth="1"/>
    <col min="7685" max="7685" width="14.33203125" style="358" customWidth="1"/>
    <col min="7686" max="7686" width="14.44140625" style="358" customWidth="1"/>
    <col min="7687" max="7687" width="15.44140625" style="358" customWidth="1"/>
    <col min="7688" max="7688" width="13.33203125" style="358" customWidth="1"/>
    <col min="7689" max="7689" width="14.6640625" style="358" customWidth="1"/>
    <col min="7690" max="7690" width="16.109375" style="358" customWidth="1"/>
    <col min="7691" max="7691" width="14.44140625" style="358" customWidth="1"/>
    <col min="7692" max="7694" width="8.88671875" style="358"/>
    <col min="7695" max="7695" width="15.44140625" style="358" bestFit="1" customWidth="1"/>
    <col min="7696" max="7936" width="8.88671875" style="358"/>
    <col min="7937" max="7937" width="2.33203125" style="358" customWidth="1"/>
    <col min="7938" max="7938" width="32" style="358" customWidth="1"/>
    <col min="7939" max="7939" width="14.88671875" style="358" customWidth="1"/>
    <col min="7940" max="7940" width="14.6640625" style="358" customWidth="1"/>
    <col min="7941" max="7941" width="14.33203125" style="358" customWidth="1"/>
    <col min="7942" max="7942" width="14.44140625" style="358" customWidth="1"/>
    <col min="7943" max="7943" width="15.44140625" style="358" customWidth="1"/>
    <col min="7944" max="7944" width="13.33203125" style="358" customWidth="1"/>
    <col min="7945" max="7945" width="14.6640625" style="358" customWidth="1"/>
    <col min="7946" max="7946" width="16.109375" style="358" customWidth="1"/>
    <col min="7947" max="7947" width="14.44140625" style="358" customWidth="1"/>
    <col min="7948" max="7950" width="8.88671875" style="358"/>
    <col min="7951" max="7951" width="15.44140625" style="358" bestFit="1" customWidth="1"/>
    <col min="7952" max="8192" width="8.88671875" style="358"/>
    <col min="8193" max="8193" width="2.33203125" style="358" customWidth="1"/>
    <col min="8194" max="8194" width="32" style="358" customWidth="1"/>
    <col min="8195" max="8195" width="14.88671875" style="358" customWidth="1"/>
    <col min="8196" max="8196" width="14.6640625" style="358" customWidth="1"/>
    <col min="8197" max="8197" width="14.33203125" style="358" customWidth="1"/>
    <col min="8198" max="8198" width="14.44140625" style="358" customWidth="1"/>
    <col min="8199" max="8199" width="15.44140625" style="358" customWidth="1"/>
    <col min="8200" max="8200" width="13.33203125" style="358" customWidth="1"/>
    <col min="8201" max="8201" width="14.6640625" style="358" customWidth="1"/>
    <col min="8202" max="8202" width="16.109375" style="358" customWidth="1"/>
    <col min="8203" max="8203" width="14.44140625" style="358" customWidth="1"/>
    <col min="8204" max="8206" width="8.88671875" style="358"/>
    <col min="8207" max="8207" width="15.44140625" style="358" bestFit="1" customWidth="1"/>
    <col min="8208" max="8448" width="8.88671875" style="358"/>
    <col min="8449" max="8449" width="2.33203125" style="358" customWidth="1"/>
    <col min="8450" max="8450" width="32" style="358" customWidth="1"/>
    <col min="8451" max="8451" width="14.88671875" style="358" customWidth="1"/>
    <col min="8452" max="8452" width="14.6640625" style="358" customWidth="1"/>
    <col min="8453" max="8453" width="14.33203125" style="358" customWidth="1"/>
    <col min="8454" max="8454" width="14.44140625" style="358" customWidth="1"/>
    <col min="8455" max="8455" width="15.44140625" style="358" customWidth="1"/>
    <col min="8456" max="8456" width="13.33203125" style="358" customWidth="1"/>
    <col min="8457" max="8457" width="14.6640625" style="358" customWidth="1"/>
    <col min="8458" max="8458" width="16.109375" style="358" customWidth="1"/>
    <col min="8459" max="8459" width="14.44140625" style="358" customWidth="1"/>
    <col min="8460" max="8462" width="8.88671875" style="358"/>
    <col min="8463" max="8463" width="15.44140625" style="358" bestFit="1" customWidth="1"/>
    <col min="8464" max="8704" width="8.88671875" style="358"/>
    <col min="8705" max="8705" width="2.33203125" style="358" customWidth="1"/>
    <col min="8706" max="8706" width="32" style="358" customWidth="1"/>
    <col min="8707" max="8707" width="14.88671875" style="358" customWidth="1"/>
    <col min="8708" max="8708" width="14.6640625" style="358" customWidth="1"/>
    <col min="8709" max="8709" width="14.33203125" style="358" customWidth="1"/>
    <col min="8710" max="8710" width="14.44140625" style="358" customWidth="1"/>
    <col min="8711" max="8711" width="15.44140625" style="358" customWidth="1"/>
    <col min="8712" max="8712" width="13.33203125" style="358" customWidth="1"/>
    <col min="8713" max="8713" width="14.6640625" style="358" customWidth="1"/>
    <col min="8714" max="8714" width="16.109375" style="358" customWidth="1"/>
    <col min="8715" max="8715" width="14.44140625" style="358" customWidth="1"/>
    <col min="8716" max="8718" width="8.88671875" style="358"/>
    <col min="8719" max="8719" width="15.44140625" style="358" bestFit="1" customWidth="1"/>
    <col min="8720" max="8960" width="8.88671875" style="358"/>
    <col min="8961" max="8961" width="2.33203125" style="358" customWidth="1"/>
    <col min="8962" max="8962" width="32" style="358" customWidth="1"/>
    <col min="8963" max="8963" width="14.88671875" style="358" customWidth="1"/>
    <col min="8964" max="8964" width="14.6640625" style="358" customWidth="1"/>
    <col min="8965" max="8965" width="14.33203125" style="358" customWidth="1"/>
    <col min="8966" max="8966" width="14.44140625" style="358" customWidth="1"/>
    <col min="8967" max="8967" width="15.44140625" style="358" customWidth="1"/>
    <col min="8968" max="8968" width="13.33203125" style="358" customWidth="1"/>
    <col min="8969" max="8969" width="14.6640625" style="358" customWidth="1"/>
    <col min="8970" max="8970" width="16.109375" style="358" customWidth="1"/>
    <col min="8971" max="8971" width="14.44140625" style="358" customWidth="1"/>
    <col min="8972" max="8974" width="8.88671875" style="358"/>
    <col min="8975" max="8975" width="15.44140625" style="358" bestFit="1" customWidth="1"/>
    <col min="8976" max="9216" width="8.88671875" style="358"/>
    <col min="9217" max="9217" width="2.33203125" style="358" customWidth="1"/>
    <col min="9218" max="9218" width="32" style="358" customWidth="1"/>
    <col min="9219" max="9219" width="14.88671875" style="358" customWidth="1"/>
    <col min="9220" max="9220" width="14.6640625" style="358" customWidth="1"/>
    <col min="9221" max="9221" width="14.33203125" style="358" customWidth="1"/>
    <col min="9222" max="9222" width="14.44140625" style="358" customWidth="1"/>
    <col min="9223" max="9223" width="15.44140625" style="358" customWidth="1"/>
    <col min="9224" max="9224" width="13.33203125" style="358" customWidth="1"/>
    <col min="9225" max="9225" width="14.6640625" style="358" customWidth="1"/>
    <col min="9226" max="9226" width="16.109375" style="358" customWidth="1"/>
    <col min="9227" max="9227" width="14.44140625" style="358" customWidth="1"/>
    <col min="9228" max="9230" width="8.88671875" style="358"/>
    <col min="9231" max="9231" width="15.44140625" style="358" bestFit="1" customWidth="1"/>
    <col min="9232" max="9472" width="8.88671875" style="358"/>
    <col min="9473" max="9473" width="2.33203125" style="358" customWidth="1"/>
    <col min="9474" max="9474" width="32" style="358" customWidth="1"/>
    <col min="9475" max="9475" width="14.88671875" style="358" customWidth="1"/>
    <col min="9476" max="9476" width="14.6640625" style="358" customWidth="1"/>
    <col min="9477" max="9477" width="14.33203125" style="358" customWidth="1"/>
    <col min="9478" max="9478" width="14.44140625" style="358" customWidth="1"/>
    <col min="9479" max="9479" width="15.44140625" style="358" customWidth="1"/>
    <col min="9480" max="9480" width="13.33203125" style="358" customWidth="1"/>
    <col min="9481" max="9481" width="14.6640625" style="358" customWidth="1"/>
    <col min="9482" max="9482" width="16.109375" style="358" customWidth="1"/>
    <col min="9483" max="9483" width="14.44140625" style="358" customWidth="1"/>
    <col min="9484" max="9486" width="8.88671875" style="358"/>
    <col min="9487" max="9487" width="15.44140625" style="358" bestFit="1" customWidth="1"/>
    <col min="9488" max="9728" width="8.88671875" style="358"/>
    <col min="9729" max="9729" width="2.33203125" style="358" customWidth="1"/>
    <col min="9730" max="9730" width="32" style="358" customWidth="1"/>
    <col min="9731" max="9731" width="14.88671875" style="358" customWidth="1"/>
    <col min="9732" max="9732" width="14.6640625" style="358" customWidth="1"/>
    <col min="9733" max="9733" width="14.33203125" style="358" customWidth="1"/>
    <col min="9734" max="9734" width="14.44140625" style="358" customWidth="1"/>
    <col min="9735" max="9735" width="15.44140625" style="358" customWidth="1"/>
    <col min="9736" max="9736" width="13.33203125" style="358" customWidth="1"/>
    <col min="9737" max="9737" width="14.6640625" style="358" customWidth="1"/>
    <col min="9738" max="9738" width="16.109375" style="358" customWidth="1"/>
    <col min="9739" max="9739" width="14.44140625" style="358" customWidth="1"/>
    <col min="9740" max="9742" width="8.88671875" style="358"/>
    <col min="9743" max="9743" width="15.44140625" style="358" bestFit="1" customWidth="1"/>
    <col min="9744" max="9984" width="8.88671875" style="358"/>
    <col min="9985" max="9985" width="2.33203125" style="358" customWidth="1"/>
    <col min="9986" max="9986" width="32" style="358" customWidth="1"/>
    <col min="9987" max="9987" width="14.88671875" style="358" customWidth="1"/>
    <col min="9988" max="9988" width="14.6640625" style="358" customWidth="1"/>
    <col min="9989" max="9989" width="14.33203125" style="358" customWidth="1"/>
    <col min="9990" max="9990" width="14.44140625" style="358" customWidth="1"/>
    <col min="9991" max="9991" width="15.44140625" style="358" customWidth="1"/>
    <col min="9992" max="9992" width="13.33203125" style="358" customWidth="1"/>
    <col min="9993" max="9993" width="14.6640625" style="358" customWidth="1"/>
    <col min="9994" max="9994" width="16.109375" style="358" customWidth="1"/>
    <col min="9995" max="9995" width="14.44140625" style="358" customWidth="1"/>
    <col min="9996" max="9998" width="8.88671875" style="358"/>
    <col min="9999" max="9999" width="15.44140625" style="358" bestFit="1" customWidth="1"/>
    <col min="10000" max="10240" width="8.88671875" style="358"/>
    <col min="10241" max="10241" width="2.33203125" style="358" customWidth="1"/>
    <col min="10242" max="10242" width="32" style="358" customWidth="1"/>
    <col min="10243" max="10243" width="14.88671875" style="358" customWidth="1"/>
    <col min="10244" max="10244" width="14.6640625" style="358" customWidth="1"/>
    <col min="10245" max="10245" width="14.33203125" style="358" customWidth="1"/>
    <col min="10246" max="10246" width="14.44140625" style="358" customWidth="1"/>
    <col min="10247" max="10247" width="15.44140625" style="358" customWidth="1"/>
    <col min="10248" max="10248" width="13.33203125" style="358" customWidth="1"/>
    <col min="10249" max="10249" width="14.6640625" style="358" customWidth="1"/>
    <col min="10250" max="10250" width="16.109375" style="358" customWidth="1"/>
    <col min="10251" max="10251" width="14.44140625" style="358" customWidth="1"/>
    <col min="10252" max="10254" width="8.88671875" style="358"/>
    <col min="10255" max="10255" width="15.44140625" style="358" bestFit="1" customWidth="1"/>
    <col min="10256" max="10496" width="8.88671875" style="358"/>
    <col min="10497" max="10497" width="2.33203125" style="358" customWidth="1"/>
    <col min="10498" max="10498" width="32" style="358" customWidth="1"/>
    <col min="10499" max="10499" width="14.88671875" style="358" customWidth="1"/>
    <col min="10500" max="10500" width="14.6640625" style="358" customWidth="1"/>
    <col min="10501" max="10501" width="14.33203125" style="358" customWidth="1"/>
    <col min="10502" max="10502" width="14.44140625" style="358" customWidth="1"/>
    <col min="10503" max="10503" width="15.44140625" style="358" customWidth="1"/>
    <col min="10504" max="10504" width="13.33203125" style="358" customWidth="1"/>
    <col min="10505" max="10505" width="14.6640625" style="358" customWidth="1"/>
    <col min="10506" max="10506" width="16.109375" style="358" customWidth="1"/>
    <col min="10507" max="10507" width="14.44140625" style="358" customWidth="1"/>
    <col min="10508" max="10510" width="8.88671875" style="358"/>
    <col min="10511" max="10511" width="15.44140625" style="358" bestFit="1" customWidth="1"/>
    <col min="10512" max="10752" width="8.88671875" style="358"/>
    <col min="10753" max="10753" width="2.33203125" style="358" customWidth="1"/>
    <col min="10754" max="10754" width="32" style="358" customWidth="1"/>
    <col min="10755" max="10755" width="14.88671875" style="358" customWidth="1"/>
    <col min="10756" max="10756" width="14.6640625" style="358" customWidth="1"/>
    <col min="10757" max="10757" width="14.33203125" style="358" customWidth="1"/>
    <col min="10758" max="10758" width="14.44140625" style="358" customWidth="1"/>
    <col min="10759" max="10759" width="15.44140625" style="358" customWidth="1"/>
    <col min="10760" max="10760" width="13.33203125" style="358" customWidth="1"/>
    <col min="10761" max="10761" width="14.6640625" style="358" customWidth="1"/>
    <col min="10762" max="10762" width="16.109375" style="358" customWidth="1"/>
    <col min="10763" max="10763" width="14.44140625" style="358" customWidth="1"/>
    <col min="10764" max="10766" width="8.88671875" style="358"/>
    <col min="10767" max="10767" width="15.44140625" style="358" bestFit="1" customWidth="1"/>
    <col min="10768" max="11008" width="8.88671875" style="358"/>
    <col min="11009" max="11009" width="2.33203125" style="358" customWidth="1"/>
    <col min="11010" max="11010" width="32" style="358" customWidth="1"/>
    <col min="11011" max="11011" width="14.88671875" style="358" customWidth="1"/>
    <col min="11012" max="11012" width="14.6640625" style="358" customWidth="1"/>
    <col min="11013" max="11013" width="14.33203125" style="358" customWidth="1"/>
    <col min="11014" max="11014" width="14.44140625" style="358" customWidth="1"/>
    <col min="11015" max="11015" width="15.44140625" style="358" customWidth="1"/>
    <col min="11016" max="11016" width="13.33203125" style="358" customWidth="1"/>
    <col min="11017" max="11017" width="14.6640625" style="358" customWidth="1"/>
    <col min="11018" max="11018" width="16.109375" style="358" customWidth="1"/>
    <col min="11019" max="11019" width="14.44140625" style="358" customWidth="1"/>
    <col min="11020" max="11022" width="8.88671875" style="358"/>
    <col min="11023" max="11023" width="15.44140625" style="358" bestFit="1" customWidth="1"/>
    <col min="11024" max="11264" width="8.88671875" style="358"/>
    <col min="11265" max="11265" width="2.33203125" style="358" customWidth="1"/>
    <col min="11266" max="11266" width="32" style="358" customWidth="1"/>
    <col min="11267" max="11267" width="14.88671875" style="358" customWidth="1"/>
    <col min="11268" max="11268" width="14.6640625" style="358" customWidth="1"/>
    <col min="11269" max="11269" width="14.33203125" style="358" customWidth="1"/>
    <col min="11270" max="11270" width="14.44140625" style="358" customWidth="1"/>
    <col min="11271" max="11271" width="15.44140625" style="358" customWidth="1"/>
    <col min="11272" max="11272" width="13.33203125" style="358" customWidth="1"/>
    <col min="11273" max="11273" width="14.6640625" style="358" customWidth="1"/>
    <col min="11274" max="11274" width="16.109375" style="358" customWidth="1"/>
    <col min="11275" max="11275" width="14.44140625" style="358" customWidth="1"/>
    <col min="11276" max="11278" width="8.88671875" style="358"/>
    <col min="11279" max="11279" width="15.44140625" style="358" bestFit="1" customWidth="1"/>
    <col min="11280" max="11520" width="8.88671875" style="358"/>
    <col min="11521" max="11521" width="2.33203125" style="358" customWidth="1"/>
    <col min="11522" max="11522" width="32" style="358" customWidth="1"/>
    <col min="11523" max="11523" width="14.88671875" style="358" customWidth="1"/>
    <col min="11524" max="11524" width="14.6640625" style="358" customWidth="1"/>
    <col min="11525" max="11525" width="14.33203125" style="358" customWidth="1"/>
    <col min="11526" max="11526" width="14.44140625" style="358" customWidth="1"/>
    <col min="11527" max="11527" width="15.44140625" style="358" customWidth="1"/>
    <col min="11528" max="11528" width="13.33203125" style="358" customWidth="1"/>
    <col min="11529" max="11529" width="14.6640625" style="358" customWidth="1"/>
    <col min="11530" max="11530" width="16.109375" style="358" customWidth="1"/>
    <col min="11531" max="11531" width="14.44140625" style="358" customWidth="1"/>
    <col min="11532" max="11534" width="8.88671875" style="358"/>
    <col min="11535" max="11535" width="15.44140625" style="358" bestFit="1" customWidth="1"/>
    <col min="11536" max="11776" width="8.88671875" style="358"/>
    <col min="11777" max="11777" width="2.33203125" style="358" customWidth="1"/>
    <col min="11778" max="11778" width="32" style="358" customWidth="1"/>
    <col min="11779" max="11779" width="14.88671875" style="358" customWidth="1"/>
    <col min="11780" max="11780" width="14.6640625" style="358" customWidth="1"/>
    <col min="11781" max="11781" width="14.33203125" style="358" customWidth="1"/>
    <col min="11782" max="11782" width="14.44140625" style="358" customWidth="1"/>
    <col min="11783" max="11783" width="15.44140625" style="358" customWidth="1"/>
    <col min="11784" max="11784" width="13.33203125" style="358" customWidth="1"/>
    <col min="11785" max="11785" width="14.6640625" style="358" customWidth="1"/>
    <col min="11786" max="11786" width="16.109375" style="358" customWidth="1"/>
    <col min="11787" max="11787" width="14.44140625" style="358" customWidth="1"/>
    <col min="11788" max="11790" width="8.88671875" style="358"/>
    <col min="11791" max="11791" width="15.44140625" style="358" bestFit="1" customWidth="1"/>
    <col min="11792" max="12032" width="8.88671875" style="358"/>
    <col min="12033" max="12033" width="2.33203125" style="358" customWidth="1"/>
    <col min="12034" max="12034" width="32" style="358" customWidth="1"/>
    <col min="12035" max="12035" width="14.88671875" style="358" customWidth="1"/>
    <col min="12036" max="12036" width="14.6640625" style="358" customWidth="1"/>
    <col min="12037" max="12037" width="14.33203125" style="358" customWidth="1"/>
    <col min="12038" max="12038" width="14.44140625" style="358" customWidth="1"/>
    <col min="12039" max="12039" width="15.44140625" style="358" customWidth="1"/>
    <col min="12040" max="12040" width="13.33203125" style="358" customWidth="1"/>
    <col min="12041" max="12041" width="14.6640625" style="358" customWidth="1"/>
    <col min="12042" max="12042" width="16.109375" style="358" customWidth="1"/>
    <col min="12043" max="12043" width="14.44140625" style="358" customWidth="1"/>
    <col min="12044" max="12046" width="8.88671875" style="358"/>
    <col min="12047" max="12047" width="15.44140625" style="358" bestFit="1" customWidth="1"/>
    <col min="12048" max="12288" width="8.88671875" style="358"/>
    <col min="12289" max="12289" width="2.33203125" style="358" customWidth="1"/>
    <col min="12290" max="12290" width="32" style="358" customWidth="1"/>
    <col min="12291" max="12291" width="14.88671875" style="358" customWidth="1"/>
    <col min="12292" max="12292" width="14.6640625" style="358" customWidth="1"/>
    <col min="12293" max="12293" width="14.33203125" style="358" customWidth="1"/>
    <col min="12294" max="12294" width="14.44140625" style="358" customWidth="1"/>
    <col min="12295" max="12295" width="15.44140625" style="358" customWidth="1"/>
    <col min="12296" max="12296" width="13.33203125" style="358" customWidth="1"/>
    <col min="12297" max="12297" width="14.6640625" style="358" customWidth="1"/>
    <col min="12298" max="12298" width="16.109375" style="358" customWidth="1"/>
    <col min="12299" max="12299" width="14.44140625" style="358" customWidth="1"/>
    <col min="12300" max="12302" width="8.88671875" style="358"/>
    <col min="12303" max="12303" width="15.44140625" style="358" bestFit="1" customWidth="1"/>
    <col min="12304" max="12544" width="8.88671875" style="358"/>
    <col min="12545" max="12545" width="2.33203125" style="358" customWidth="1"/>
    <col min="12546" max="12546" width="32" style="358" customWidth="1"/>
    <col min="12547" max="12547" width="14.88671875" style="358" customWidth="1"/>
    <col min="12548" max="12548" width="14.6640625" style="358" customWidth="1"/>
    <col min="12549" max="12549" width="14.33203125" style="358" customWidth="1"/>
    <col min="12550" max="12550" width="14.44140625" style="358" customWidth="1"/>
    <col min="12551" max="12551" width="15.44140625" style="358" customWidth="1"/>
    <col min="12552" max="12552" width="13.33203125" style="358" customWidth="1"/>
    <col min="12553" max="12553" width="14.6640625" style="358" customWidth="1"/>
    <col min="12554" max="12554" width="16.109375" style="358" customWidth="1"/>
    <col min="12555" max="12555" width="14.44140625" style="358" customWidth="1"/>
    <col min="12556" max="12558" width="8.88671875" style="358"/>
    <col min="12559" max="12559" width="15.44140625" style="358" bestFit="1" customWidth="1"/>
    <col min="12560" max="12800" width="8.88671875" style="358"/>
    <col min="12801" max="12801" width="2.33203125" style="358" customWidth="1"/>
    <col min="12802" max="12802" width="32" style="358" customWidth="1"/>
    <col min="12803" max="12803" width="14.88671875" style="358" customWidth="1"/>
    <col min="12804" max="12804" width="14.6640625" style="358" customWidth="1"/>
    <col min="12805" max="12805" width="14.33203125" style="358" customWidth="1"/>
    <col min="12806" max="12806" width="14.44140625" style="358" customWidth="1"/>
    <col min="12807" max="12807" width="15.44140625" style="358" customWidth="1"/>
    <col min="12808" max="12808" width="13.33203125" style="358" customWidth="1"/>
    <col min="12809" max="12809" width="14.6640625" style="358" customWidth="1"/>
    <col min="12810" max="12810" width="16.109375" style="358" customWidth="1"/>
    <col min="12811" max="12811" width="14.44140625" style="358" customWidth="1"/>
    <col min="12812" max="12814" width="8.88671875" style="358"/>
    <col min="12815" max="12815" width="15.44140625" style="358" bestFit="1" customWidth="1"/>
    <col min="12816" max="13056" width="8.88671875" style="358"/>
    <col min="13057" max="13057" width="2.33203125" style="358" customWidth="1"/>
    <col min="13058" max="13058" width="32" style="358" customWidth="1"/>
    <col min="13059" max="13059" width="14.88671875" style="358" customWidth="1"/>
    <col min="13060" max="13060" width="14.6640625" style="358" customWidth="1"/>
    <col min="13061" max="13061" width="14.33203125" style="358" customWidth="1"/>
    <col min="13062" max="13062" width="14.44140625" style="358" customWidth="1"/>
    <col min="13063" max="13063" width="15.44140625" style="358" customWidth="1"/>
    <col min="13064" max="13064" width="13.33203125" style="358" customWidth="1"/>
    <col min="13065" max="13065" width="14.6640625" style="358" customWidth="1"/>
    <col min="13066" max="13066" width="16.109375" style="358" customWidth="1"/>
    <col min="13067" max="13067" width="14.44140625" style="358" customWidth="1"/>
    <col min="13068" max="13070" width="8.88671875" style="358"/>
    <col min="13071" max="13071" width="15.44140625" style="358" bestFit="1" customWidth="1"/>
    <col min="13072" max="13312" width="8.88671875" style="358"/>
    <col min="13313" max="13313" width="2.33203125" style="358" customWidth="1"/>
    <col min="13314" max="13314" width="32" style="358" customWidth="1"/>
    <col min="13315" max="13315" width="14.88671875" style="358" customWidth="1"/>
    <col min="13316" max="13316" width="14.6640625" style="358" customWidth="1"/>
    <col min="13317" max="13317" width="14.33203125" style="358" customWidth="1"/>
    <col min="13318" max="13318" width="14.44140625" style="358" customWidth="1"/>
    <col min="13319" max="13319" width="15.44140625" style="358" customWidth="1"/>
    <col min="13320" max="13320" width="13.33203125" style="358" customWidth="1"/>
    <col min="13321" max="13321" width="14.6640625" style="358" customWidth="1"/>
    <col min="13322" max="13322" width="16.109375" style="358" customWidth="1"/>
    <col min="13323" max="13323" width="14.44140625" style="358" customWidth="1"/>
    <col min="13324" max="13326" width="8.88671875" style="358"/>
    <col min="13327" max="13327" width="15.44140625" style="358" bestFit="1" customWidth="1"/>
    <col min="13328" max="13568" width="8.88671875" style="358"/>
    <col min="13569" max="13569" width="2.33203125" style="358" customWidth="1"/>
    <col min="13570" max="13570" width="32" style="358" customWidth="1"/>
    <col min="13571" max="13571" width="14.88671875" style="358" customWidth="1"/>
    <col min="13572" max="13572" width="14.6640625" style="358" customWidth="1"/>
    <col min="13573" max="13573" width="14.33203125" style="358" customWidth="1"/>
    <col min="13574" max="13574" width="14.44140625" style="358" customWidth="1"/>
    <col min="13575" max="13575" width="15.44140625" style="358" customWidth="1"/>
    <col min="13576" max="13576" width="13.33203125" style="358" customWidth="1"/>
    <col min="13577" max="13577" width="14.6640625" style="358" customWidth="1"/>
    <col min="13578" max="13578" width="16.109375" style="358" customWidth="1"/>
    <col min="13579" max="13579" width="14.44140625" style="358" customWidth="1"/>
    <col min="13580" max="13582" width="8.88671875" style="358"/>
    <col min="13583" max="13583" width="15.44140625" style="358" bestFit="1" customWidth="1"/>
    <col min="13584" max="13824" width="8.88671875" style="358"/>
    <col min="13825" max="13825" width="2.33203125" style="358" customWidth="1"/>
    <col min="13826" max="13826" width="32" style="358" customWidth="1"/>
    <col min="13827" max="13827" width="14.88671875" style="358" customWidth="1"/>
    <col min="13828" max="13828" width="14.6640625" style="358" customWidth="1"/>
    <col min="13829" max="13829" width="14.33203125" style="358" customWidth="1"/>
    <col min="13830" max="13830" width="14.44140625" style="358" customWidth="1"/>
    <col min="13831" max="13831" width="15.44140625" style="358" customWidth="1"/>
    <col min="13832" max="13832" width="13.33203125" style="358" customWidth="1"/>
    <col min="13833" max="13833" width="14.6640625" style="358" customWidth="1"/>
    <col min="13834" max="13834" width="16.109375" style="358" customWidth="1"/>
    <col min="13835" max="13835" width="14.44140625" style="358" customWidth="1"/>
    <col min="13836" max="13838" width="8.88671875" style="358"/>
    <col min="13839" max="13839" width="15.44140625" style="358" bestFit="1" customWidth="1"/>
    <col min="13840" max="14080" width="8.88671875" style="358"/>
    <col min="14081" max="14081" width="2.33203125" style="358" customWidth="1"/>
    <col min="14082" max="14082" width="32" style="358" customWidth="1"/>
    <col min="14083" max="14083" width="14.88671875" style="358" customWidth="1"/>
    <col min="14084" max="14084" width="14.6640625" style="358" customWidth="1"/>
    <col min="14085" max="14085" width="14.33203125" style="358" customWidth="1"/>
    <col min="14086" max="14086" width="14.44140625" style="358" customWidth="1"/>
    <col min="14087" max="14087" width="15.44140625" style="358" customWidth="1"/>
    <col min="14088" max="14088" width="13.33203125" style="358" customWidth="1"/>
    <col min="14089" max="14089" width="14.6640625" style="358" customWidth="1"/>
    <col min="14090" max="14090" width="16.109375" style="358" customWidth="1"/>
    <col min="14091" max="14091" width="14.44140625" style="358" customWidth="1"/>
    <col min="14092" max="14094" width="8.88671875" style="358"/>
    <col min="14095" max="14095" width="15.44140625" style="358" bestFit="1" customWidth="1"/>
    <col min="14096" max="14336" width="8.88671875" style="358"/>
    <col min="14337" max="14337" width="2.33203125" style="358" customWidth="1"/>
    <col min="14338" max="14338" width="32" style="358" customWidth="1"/>
    <col min="14339" max="14339" width="14.88671875" style="358" customWidth="1"/>
    <col min="14340" max="14340" width="14.6640625" style="358" customWidth="1"/>
    <col min="14341" max="14341" width="14.33203125" style="358" customWidth="1"/>
    <col min="14342" max="14342" width="14.44140625" style="358" customWidth="1"/>
    <col min="14343" max="14343" width="15.44140625" style="358" customWidth="1"/>
    <col min="14344" max="14344" width="13.33203125" style="358" customWidth="1"/>
    <col min="14345" max="14345" width="14.6640625" style="358" customWidth="1"/>
    <col min="14346" max="14346" width="16.109375" style="358" customWidth="1"/>
    <col min="14347" max="14347" width="14.44140625" style="358" customWidth="1"/>
    <col min="14348" max="14350" width="8.88671875" style="358"/>
    <col min="14351" max="14351" width="15.44140625" style="358" bestFit="1" customWidth="1"/>
    <col min="14352" max="14592" width="8.88671875" style="358"/>
    <col min="14593" max="14593" width="2.33203125" style="358" customWidth="1"/>
    <col min="14594" max="14594" width="32" style="358" customWidth="1"/>
    <col min="14595" max="14595" width="14.88671875" style="358" customWidth="1"/>
    <col min="14596" max="14596" width="14.6640625" style="358" customWidth="1"/>
    <col min="14597" max="14597" width="14.33203125" style="358" customWidth="1"/>
    <col min="14598" max="14598" width="14.44140625" style="358" customWidth="1"/>
    <col min="14599" max="14599" width="15.44140625" style="358" customWidth="1"/>
    <col min="14600" max="14600" width="13.33203125" style="358" customWidth="1"/>
    <col min="14601" max="14601" width="14.6640625" style="358" customWidth="1"/>
    <col min="14602" max="14602" width="16.109375" style="358" customWidth="1"/>
    <col min="14603" max="14603" width="14.44140625" style="358" customWidth="1"/>
    <col min="14604" max="14606" width="8.88671875" style="358"/>
    <col min="14607" max="14607" width="15.44140625" style="358" bestFit="1" customWidth="1"/>
    <col min="14608" max="14848" width="8.88671875" style="358"/>
    <col min="14849" max="14849" width="2.33203125" style="358" customWidth="1"/>
    <col min="14850" max="14850" width="32" style="358" customWidth="1"/>
    <col min="14851" max="14851" width="14.88671875" style="358" customWidth="1"/>
    <col min="14852" max="14852" width="14.6640625" style="358" customWidth="1"/>
    <col min="14853" max="14853" width="14.33203125" style="358" customWidth="1"/>
    <col min="14854" max="14854" width="14.44140625" style="358" customWidth="1"/>
    <col min="14855" max="14855" width="15.44140625" style="358" customWidth="1"/>
    <col min="14856" max="14856" width="13.33203125" style="358" customWidth="1"/>
    <col min="14857" max="14857" width="14.6640625" style="358" customWidth="1"/>
    <col min="14858" max="14858" width="16.109375" style="358" customWidth="1"/>
    <col min="14859" max="14859" width="14.44140625" style="358" customWidth="1"/>
    <col min="14860" max="14862" width="8.88671875" style="358"/>
    <col min="14863" max="14863" width="15.44140625" style="358" bestFit="1" customWidth="1"/>
    <col min="14864" max="15104" width="8.88671875" style="358"/>
    <col min="15105" max="15105" width="2.33203125" style="358" customWidth="1"/>
    <col min="15106" max="15106" width="32" style="358" customWidth="1"/>
    <col min="15107" max="15107" width="14.88671875" style="358" customWidth="1"/>
    <col min="15108" max="15108" width="14.6640625" style="358" customWidth="1"/>
    <col min="15109" max="15109" width="14.33203125" style="358" customWidth="1"/>
    <col min="15110" max="15110" width="14.44140625" style="358" customWidth="1"/>
    <col min="15111" max="15111" width="15.44140625" style="358" customWidth="1"/>
    <col min="15112" max="15112" width="13.33203125" style="358" customWidth="1"/>
    <col min="15113" max="15113" width="14.6640625" style="358" customWidth="1"/>
    <col min="15114" max="15114" width="16.109375" style="358" customWidth="1"/>
    <col min="15115" max="15115" width="14.44140625" style="358" customWidth="1"/>
    <col min="15116" max="15118" width="8.88671875" style="358"/>
    <col min="15119" max="15119" width="15.44140625" style="358" bestFit="1" customWidth="1"/>
    <col min="15120" max="15360" width="8.88671875" style="358"/>
    <col min="15361" max="15361" width="2.33203125" style="358" customWidth="1"/>
    <col min="15362" max="15362" width="32" style="358" customWidth="1"/>
    <col min="15363" max="15363" width="14.88671875" style="358" customWidth="1"/>
    <col min="15364" max="15364" width="14.6640625" style="358" customWidth="1"/>
    <col min="15365" max="15365" width="14.33203125" style="358" customWidth="1"/>
    <col min="15366" max="15366" width="14.44140625" style="358" customWidth="1"/>
    <col min="15367" max="15367" width="15.44140625" style="358" customWidth="1"/>
    <col min="15368" max="15368" width="13.33203125" style="358" customWidth="1"/>
    <col min="15369" max="15369" width="14.6640625" style="358" customWidth="1"/>
    <col min="15370" max="15370" width="16.109375" style="358" customWidth="1"/>
    <col min="15371" max="15371" width="14.44140625" style="358" customWidth="1"/>
    <col min="15372" max="15374" width="8.88671875" style="358"/>
    <col min="15375" max="15375" width="15.44140625" style="358" bestFit="1" customWidth="1"/>
    <col min="15376" max="15616" width="8.88671875" style="358"/>
    <col min="15617" max="15617" width="2.33203125" style="358" customWidth="1"/>
    <col min="15618" max="15618" width="32" style="358" customWidth="1"/>
    <col min="15619" max="15619" width="14.88671875" style="358" customWidth="1"/>
    <col min="15620" max="15620" width="14.6640625" style="358" customWidth="1"/>
    <col min="15621" max="15621" width="14.33203125" style="358" customWidth="1"/>
    <col min="15622" max="15622" width="14.44140625" style="358" customWidth="1"/>
    <col min="15623" max="15623" width="15.44140625" style="358" customWidth="1"/>
    <col min="15624" max="15624" width="13.33203125" style="358" customWidth="1"/>
    <col min="15625" max="15625" width="14.6640625" style="358" customWidth="1"/>
    <col min="15626" max="15626" width="16.109375" style="358" customWidth="1"/>
    <col min="15627" max="15627" width="14.44140625" style="358" customWidth="1"/>
    <col min="15628" max="15630" width="8.88671875" style="358"/>
    <col min="15631" max="15631" width="15.44140625" style="358" bestFit="1" customWidth="1"/>
    <col min="15632" max="15872" width="8.88671875" style="358"/>
    <col min="15873" max="15873" width="2.33203125" style="358" customWidth="1"/>
    <col min="15874" max="15874" width="32" style="358" customWidth="1"/>
    <col min="15875" max="15875" width="14.88671875" style="358" customWidth="1"/>
    <col min="15876" max="15876" width="14.6640625" style="358" customWidth="1"/>
    <col min="15877" max="15877" width="14.33203125" style="358" customWidth="1"/>
    <col min="15878" max="15878" width="14.44140625" style="358" customWidth="1"/>
    <col min="15879" max="15879" width="15.44140625" style="358" customWidth="1"/>
    <col min="15880" max="15880" width="13.33203125" style="358" customWidth="1"/>
    <col min="15881" max="15881" width="14.6640625" style="358" customWidth="1"/>
    <col min="15882" max="15882" width="16.109375" style="358" customWidth="1"/>
    <col min="15883" max="15883" width="14.44140625" style="358" customWidth="1"/>
    <col min="15884" max="15886" width="8.88671875" style="358"/>
    <col min="15887" max="15887" width="15.44140625" style="358" bestFit="1" customWidth="1"/>
    <col min="15888" max="16128" width="8.88671875" style="358"/>
    <col min="16129" max="16129" width="2.33203125" style="358" customWidth="1"/>
    <col min="16130" max="16130" width="32" style="358" customWidth="1"/>
    <col min="16131" max="16131" width="14.88671875" style="358" customWidth="1"/>
    <col min="16132" max="16132" width="14.6640625" style="358" customWidth="1"/>
    <col min="16133" max="16133" width="14.33203125" style="358" customWidth="1"/>
    <col min="16134" max="16134" width="14.44140625" style="358" customWidth="1"/>
    <col min="16135" max="16135" width="15.44140625" style="358" customWidth="1"/>
    <col min="16136" max="16136" width="13.33203125" style="358" customWidth="1"/>
    <col min="16137" max="16137" width="14.6640625" style="358" customWidth="1"/>
    <col min="16138" max="16138" width="16.109375" style="358" customWidth="1"/>
    <col min="16139" max="16139" width="14.44140625" style="358" customWidth="1"/>
    <col min="16140" max="16142" width="8.88671875" style="358"/>
    <col min="16143" max="16143" width="15.44140625" style="358" bestFit="1" customWidth="1"/>
    <col min="16144" max="16384" width="8.88671875" style="358"/>
  </cols>
  <sheetData>
    <row r="1" spans="1:12">
      <c r="A1" s="357" t="s">
        <v>650</v>
      </c>
      <c r="B1" s="357"/>
    </row>
    <row r="3" spans="1:12">
      <c r="A3" s="359"/>
      <c r="B3" s="360" t="s">
        <v>579</v>
      </c>
      <c r="C3" s="357"/>
      <c r="D3" s="361"/>
      <c r="J3" s="436"/>
      <c r="K3" s="437"/>
    </row>
    <row r="5" spans="1:12">
      <c r="B5" s="362"/>
      <c r="C5" s="363" t="s">
        <v>339</v>
      </c>
      <c r="D5" s="364" t="s">
        <v>580</v>
      </c>
      <c r="E5" s="365" t="s">
        <v>581</v>
      </c>
      <c r="F5" s="364" t="s">
        <v>582</v>
      </c>
      <c r="G5" s="365" t="s">
        <v>583</v>
      </c>
      <c r="H5" s="364" t="s">
        <v>584</v>
      </c>
      <c r="I5" s="365" t="s">
        <v>583</v>
      </c>
      <c r="J5" s="364" t="s">
        <v>583</v>
      </c>
      <c r="K5" s="366" t="s">
        <v>585</v>
      </c>
      <c r="L5" s="367"/>
    </row>
    <row r="6" spans="1:12">
      <c r="B6" s="368"/>
      <c r="C6" s="369" t="s">
        <v>586</v>
      </c>
      <c r="D6" s="370" t="s">
        <v>587</v>
      </c>
      <c r="E6" s="371" t="s">
        <v>588</v>
      </c>
      <c r="F6" s="370" t="s">
        <v>589</v>
      </c>
      <c r="G6" s="371"/>
      <c r="H6" s="370" t="s">
        <v>590</v>
      </c>
      <c r="I6" s="371" t="s">
        <v>22</v>
      </c>
      <c r="J6" s="370" t="s">
        <v>16</v>
      </c>
      <c r="K6" s="371" t="s">
        <v>591</v>
      </c>
      <c r="L6" s="367"/>
    </row>
    <row r="7" spans="1:12">
      <c r="B7" s="368"/>
      <c r="C7" s="372"/>
      <c r="D7" s="373"/>
      <c r="E7" s="372"/>
      <c r="F7" s="373"/>
      <c r="G7" s="372"/>
      <c r="H7" s="373"/>
      <c r="I7" s="372"/>
      <c r="J7" s="373"/>
      <c r="K7" s="372"/>
    </row>
    <row r="8" spans="1:12">
      <c r="A8" s="374"/>
      <c r="B8" s="368" t="s">
        <v>8</v>
      </c>
      <c r="C8" s="375">
        <f>OPEX!G24</f>
        <v>4720024.6260600006</v>
      </c>
      <c r="D8" s="376">
        <f>OPEX!G48</f>
        <v>2261788.7069999999</v>
      </c>
      <c r="E8" s="377">
        <f>OPEX!G53</f>
        <v>132277.65</v>
      </c>
      <c r="F8" s="376">
        <f>OPEX!G57</f>
        <v>36447.080999999998</v>
      </c>
      <c r="G8" s="377">
        <f>SUM(C8:F8)</f>
        <v>7150538.0640600007</v>
      </c>
      <c r="H8" s="376">
        <v>0</v>
      </c>
      <c r="I8" s="377">
        <f>SUM(G8:H8)</f>
        <v>7150538.0640600007</v>
      </c>
      <c r="J8" s="376">
        <f>OPEX!G13</f>
        <v>4448176</v>
      </c>
      <c r="K8" s="378">
        <f>+I8-J8</f>
        <v>2702362.0640600007</v>
      </c>
      <c r="L8" s="379"/>
    </row>
    <row r="9" spans="1:12">
      <c r="A9" s="374"/>
      <c r="B9" s="368" t="s">
        <v>592</v>
      </c>
      <c r="C9" s="375">
        <f>OPEX!G86</f>
        <v>2292717.340965</v>
      </c>
      <c r="D9" s="376">
        <f>OPEX!G104</f>
        <v>1246469.37888</v>
      </c>
      <c r="E9" s="377">
        <f>0</f>
        <v>0</v>
      </c>
      <c r="F9" s="376">
        <f>OPEX!G107</f>
        <v>90355</v>
      </c>
      <c r="G9" s="377">
        <f>SUM(C9:F9)</f>
        <v>3629541.7198449997</v>
      </c>
      <c r="H9" s="376">
        <v>0</v>
      </c>
      <c r="I9" s="377">
        <f>SUM(G9:H9)</f>
        <v>3629541.7198449997</v>
      </c>
      <c r="J9" s="376">
        <f>OPEX!G75</f>
        <v>3360650</v>
      </c>
      <c r="K9" s="380">
        <f t="shared" ref="K9:K33" si="0">+I9-J9</f>
        <v>268891.71984499972</v>
      </c>
      <c r="L9" s="379"/>
    </row>
    <row r="10" spans="1:12">
      <c r="A10" s="374"/>
      <c r="B10" s="368" t="s">
        <v>593</v>
      </c>
      <c r="C10" s="375">
        <f>OPEX!G138</f>
        <v>4446000.6845700005</v>
      </c>
      <c r="D10" s="376">
        <f>OPEX!G169</f>
        <v>3200549.0042899996</v>
      </c>
      <c r="E10" s="377">
        <f>OPEX!G174</f>
        <v>47427.700239999998</v>
      </c>
      <c r="F10" s="376">
        <f>OPEX!G176</f>
        <v>51138.1</v>
      </c>
      <c r="G10" s="377">
        <f>SUM(C10:F10)</f>
        <v>7745115.4890999999</v>
      </c>
      <c r="H10" s="376">
        <v>0</v>
      </c>
      <c r="I10" s="377">
        <f t="shared" ref="I10:I33" si="1">SUM(G10:H10)</f>
        <v>7745115.4890999999</v>
      </c>
      <c r="J10" s="376">
        <f>OPEX!G127</f>
        <v>6384655.8300000001</v>
      </c>
      <c r="K10" s="380">
        <f t="shared" si="0"/>
        <v>1360459.6590999998</v>
      </c>
      <c r="L10" s="381"/>
    </row>
    <row r="11" spans="1:12">
      <c r="A11" s="374"/>
      <c r="B11" s="368" t="s">
        <v>3</v>
      </c>
      <c r="C11" s="375">
        <f>OPEX!G206</f>
        <v>198681.47259000002</v>
      </c>
      <c r="D11" s="376">
        <f>OPEX!G217</f>
        <v>527499.95765</v>
      </c>
      <c r="E11" s="377">
        <f>0</f>
        <v>0</v>
      </c>
      <c r="F11" s="376">
        <f>OPEX!G220</f>
        <v>7088.0839999999998</v>
      </c>
      <c r="G11" s="377">
        <f t="shared" ref="G11:G33" si="2">SUM(C11:F11)</f>
        <v>733269.51424000005</v>
      </c>
      <c r="H11" s="376">
        <v>0</v>
      </c>
      <c r="I11" s="377">
        <f t="shared" si="1"/>
        <v>733269.51424000005</v>
      </c>
      <c r="J11" s="376">
        <f>OPEX!G196</f>
        <v>11144350.7115</v>
      </c>
      <c r="K11" s="380">
        <f t="shared" si="0"/>
        <v>-10411081.19726</v>
      </c>
      <c r="L11" s="382"/>
    </row>
    <row r="12" spans="1:12">
      <c r="A12" s="374"/>
      <c r="B12" s="368" t="s">
        <v>1</v>
      </c>
      <c r="C12" s="375">
        <f>OPEX!G245</f>
        <v>3627353.3972499999</v>
      </c>
      <c r="D12" s="376">
        <f>OPEX!G271</f>
        <v>2109452.02</v>
      </c>
      <c r="E12" s="377">
        <f>OPEX!G276</f>
        <v>50000</v>
      </c>
      <c r="F12" s="376">
        <f>OPEX!G279</f>
        <v>113393.5</v>
      </c>
      <c r="G12" s="377">
        <f t="shared" si="2"/>
        <v>5900198.9172499999</v>
      </c>
      <c r="H12" s="376">
        <v>0</v>
      </c>
      <c r="I12" s="377">
        <f t="shared" si="1"/>
        <v>5900198.9172499999</v>
      </c>
      <c r="J12" s="376">
        <f>OPEX!G233</f>
        <v>0</v>
      </c>
      <c r="K12" s="380">
        <f t="shared" si="0"/>
        <v>5900198.9172499999</v>
      </c>
      <c r="L12" s="379"/>
    </row>
    <row r="13" spans="1:12">
      <c r="A13" s="374"/>
      <c r="B13" s="368" t="s">
        <v>594</v>
      </c>
      <c r="C13" s="375">
        <f>OPEX!G302</f>
        <v>529094.84147999994</v>
      </c>
      <c r="D13" s="376">
        <f>OPEX!G310</f>
        <v>23890.633000000002</v>
      </c>
      <c r="E13" s="377">
        <f>OPEX!G313</f>
        <v>0</v>
      </c>
      <c r="F13" s="376">
        <f>OPEX!G316</f>
        <v>3317.623</v>
      </c>
      <c r="G13" s="377">
        <f t="shared" si="2"/>
        <v>556303.09748</v>
      </c>
      <c r="H13" s="376">
        <v>0</v>
      </c>
      <c r="I13" s="377">
        <f t="shared" si="1"/>
        <v>556303.09748</v>
      </c>
      <c r="J13" s="376">
        <f>OPEX!G292</f>
        <v>0</v>
      </c>
      <c r="K13" s="380">
        <f t="shared" si="0"/>
        <v>556303.09748</v>
      </c>
      <c r="L13" s="381"/>
    </row>
    <row r="14" spans="1:12">
      <c r="A14" s="374"/>
      <c r="B14" s="368" t="s">
        <v>134</v>
      </c>
      <c r="C14" s="375">
        <f>OPEX!G337</f>
        <v>195537.28532999998</v>
      </c>
      <c r="D14" s="376">
        <f>OPEX!G347</f>
        <v>349387.353</v>
      </c>
      <c r="E14" s="377">
        <f>OPEX!G351</f>
        <v>35000</v>
      </c>
      <c r="F14" s="376">
        <f>OPEX!G354</f>
        <v>39975.178</v>
      </c>
      <c r="G14" s="377">
        <f t="shared" si="2"/>
        <v>619899.81632999994</v>
      </c>
      <c r="H14" s="376">
        <v>0</v>
      </c>
      <c r="I14" s="377">
        <f t="shared" si="1"/>
        <v>619899.81632999994</v>
      </c>
      <c r="J14" s="376">
        <f>OPEX!G328</f>
        <v>935780.7</v>
      </c>
      <c r="K14" s="380">
        <f t="shared" si="0"/>
        <v>-315880.88367000001</v>
      </c>
      <c r="L14" s="381"/>
    </row>
    <row r="15" spans="1:12">
      <c r="A15" s="374"/>
      <c r="B15" s="368" t="s">
        <v>143</v>
      </c>
      <c r="C15" s="375">
        <f>OPEX!G378</f>
        <v>937130.71917000005</v>
      </c>
      <c r="D15" s="376">
        <f>OPEX!G388</f>
        <v>146452.74600000001</v>
      </c>
      <c r="E15" s="377">
        <f>OPEX!G395</f>
        <v>10000</v>
      </c>
      <c r="F15" s="376">
        <f>OPEX!G399</f>
        <v>21140.9</v>
      </c>
      <c r="G15" s="377">
        <f t="shared" si="2"/>
        <v>1114724.3651699999</v>
      </c>
      <c r="H15" s="376">
        <v>0</v>
      </c>
      <c r="I15" s="377">
        <f t="shared" si="1"/>
        <v>1114724.3651699999</v>
      </c>
      <c r="J15" s="376">
        <f>OPEX!G366</f>
        <v>1669000</v>
      </c>
      <c r="K15" s="380">
        <f t="shared" si="0"/>
        <v>-554275.63483000011</v>
      </c>
      <c r="L15" s="381"/>
    </row>
    <row r="16" spans="1:12">
      <c r="A16" s="374"/>
      <c r="B16" s="368" t="s">
        <v>595</v>
      </c>
      <c r="C16" s="375">
        <f>OPEX!G422</f>
        <v>460827.02675999992</v>
      </c>
      <c r="D16" s="376">
        <f>OPEX!G432</f>
        <v>20538.223000000002</v>
      </c>
      <c r="E16" s="377">
        <f>OPEX!G436</f>
        <v>27956.9</v>
      </c>
      <c r="F16" s="376">
        <f>0</f>
        <v>0</v>
      </c>
      <c r="G16" s="377">
        <f t="shared" si="2"/>
        <v>509322.14975999994</v>
      </c>
      <c r="H16" s="376">
        <v>0</v>
      </c>
      <c r="I16" s="377">
        <f t="shared" si="1"/>
        <v>509322.14975999994</v>
      </c>
      <c r="J16" s="376">
        <f>OPEX!G412</f>
        <v>531042.5</v>
      </c>
      <c r="K16" s="380">
        <f t="shared" si="0"/>
        <v>-21720.350240000058</v>
      </c>
      <c r="L16" s="381"/>
    </row>
    <row r="17" spans="1:12">
      <c r="A17" s="374"/>
      <c r="B17" s="368" t="s">
        <v>5</v>
      </c>
      <c r="C17" s="375">
        <f>OPEX!G464</f>
        <v>664803.49882999994</v>
      </c>
      <c r="D17" s="376">
        <f>OPEX!G482</f>
        <v>174383.50684999998</v>
      </c>
      <c r="E17" s="377">
        <f>OPEX!G487</f>
        <v>3454.75</v>
      </c>
      <c r="F17" s="376">
        <f>OPEX!G489</f>
        <v>128117.012</v>
      </c>
      <c r="G17" s="377">
        <f t="shared" si="2"/>
        <v>970758.76767999993</v>
      </c>
      <c r="H17" s="376">
        <v>0</v>
      </c>
      <c r="I17" s="377">
        <f t="shared" si="1"/>
        <v>970758.76767999993</v>
      </c>
      <c r="J17" s="376">
        <f>OPEX!G453</f>
        <v>936052.272</v>
      </c>
      <c r="K17" s="380">
        <f t="shared" si="0"/>
        <v>34706.495679999935</v>
      </c>
      <c r="L17" s="379"/>
    </row>
    <row r="18" spans="1:12">
      <c r="A18" s="374"/>
      <c r="B18" s="368" t="s">
        <v>596</v>
      </c>
      <c r="C18" s="375">
        <f>OPEX!G514</f>
        <v>476025.45887999993</v>
      </c>
      <c r="D18" s="376">
        <f>OPEX!G526</f>
        <v>245800.33919500001</v>
      </c>
      <c r="E18" s="377">
        <f>OPEX!G531</f>
        <v>635200</v>
      </c>
      <c r="F18" s="376">
        <f>OPEX!G533</f>
        <v>274162.90000000002</v>
      </c>
      <c r="G18" s="377">
        <f t="shared" si="2"/>
        <v>1631188.6980749997</v>
      </c>
      <c r="H18" s="376">
        <v>0</v>
      </c>
      <c r="I18" s="377">
        <f t="shared" si="1"/>
        <v>1631188.6980749997</v>
      </c>
      <c r="J18" s="376">
        <f>OPEX!G503</f>
        <v>1104644.5</v>
      </c>
      <c r="K18" s="380">
        <f t="shared" si="0"/>
        <v>526544.19807499973</v>
      </c>
      <c r="L18" s="379"/>
    </row>
    <row r="19" spans="1:12">
      <c r="A19" s="374"/>
      <c r="B19" s="368" t="s">
        <v>177</v>
      </c>
      <c r="C19" s="375">
        <f>OPEX!G563</f>
        <v>1923505.6608199999</v>
      </c>
      <c r="D19" s="376">
        <f>OPEX!G571</f>
        <v>64325</v>
      </c>
      <c r="E19" s="377">
        <f>OPEX!G573</f>
        <v>15000</v>
      </c>
      <c r="F19" s="376">
        <f>OPEX!G576</f>
        <v>38261.622000000003</v>
      </c>
      <c r="G19" s="377">
        <f t="shared" si="2"/>
        <v>2041092.2828199998</v>
      </c>
      <c r="H19" s="376">
        <v>0</v>
      </c>
      <c r="I19" s="377">
        <f t="shared" si="1"/>
        <v>2041092.2828199998</v>
      </c>
      <c r="J19" s="376">
        <f>OPEX!G551</f>
        <v>1308936.912</v>
      </c>
      <c r="K19" s="380">
        <f t="shared" si="0"/>
        <v>732155.37081999984</v>
      </c>
      <c r="L19" s="381"/>
    </row>
    <row r="20" spans="1:12">
      <c r="A20" s="374"/>
      <c r="B20" s="368" t="s">
        <v>597</v>
      </c>
      <c r="C20" s="377">
        <f>OPEX!G600</f>
        <v>0</v>
      </c>
      <c r="D20" s="376">
        <f>OPEX!G608</f>
        <v>806183.47100000002</v>
      </c>
      <c r="E20" s="377">
        <f>0</f>
        <v>0</v>
      </c>
      <c r="F20" s="376">
        <f>0</f>
        <v>0</v>
      </c>
      <c r="G20" s="377">
        <f t="shared" si="2"/>
        <v>806183.47100000002</v>
      </c>
      <c r="H20" s="376">
        <v>0</v>
      </c>
      <c r="I20" s="377">
        <f t="shared" si="1"/>
        <v>806183.47100000002</v>
      </c>
      <c r="J20" s="376">
        <f>OPEX!G589</f>
        <v>472559.9</v>
      </c>
      <c r="K20" s="380">
        <f t="shared" si="0"/>
        <v>333623.571</v>
      </c>
      <c r="L20" s="379"/>
    </row>
    <row r="21" spans="1:12">
      <c r="A21" s="374"/>
      <c r="B21" s="368" t="s">
        <v>280</v>
      </c>
      <c r="C21" s="377">
        <f>OPEX!G625</f>
        <v>0</v>
      </c>
      <c r="D21" s="376">
        <f>OPEX!G630</f>
        <v>1226720</v>
      </c>
      <c r="E21" s="377">
        <f>0</f>
        <v>0</v>
      </c>
      <c r="F21" s="376">
        <f>OPEX!G633</f>
        <v>40237.739000000001</v>
      </c>
      <c r="G21" s="377">
        <f t="shared" si="2"/>
        <v>1266957.7390000001</v>
      </c>
      <c r="H21" s="376">
        <v>0</v>
      </c>
      <c r="I21" s="377">
        <f t="shared" si="1"/>
        <v>1266957.7390000001</v>
      </c>
      <c r="J21" s="376">
        <f>OPEX!G622</f>
        <v>385869</v>
      </c>
      <c r="K21" s="380">
        <f t="shared" si="0"/>
        <v>881088.73900000006</v>
      </c>
      <c r="L21" s="379"/>
    </row>
    <row r="22" spans="1:12">
      <c r="A22" s="374"/>
      <c r="B22" s="368" t="s">
        <v>598</v>
      </c>
      <c r="C22" s="375">
        <f>OPEX!G656</f>
        <v>1367807.4807900002</v>
      </c>
      <c r="D22" s="376">
        <f>OPEX!G673</f>
        <v>356199.50438</v>
      </c>
      <c r="E22" s="377">
        <f>OPEX!G682</f>
        <v>1380917.5008</v>
      </c>
      <c r="F22" s="376">
        <f>OPEX!G684</f>
        <v>464105.8</v>
      </c>
      <c r="G22" s="377">
        <f>SUM(C22:F22)</f>
        <v>3569030.2859700001</v>
      </c>
      <c r="H22" s="376">
        <v>0</v>
      </c>
      <c r="I22" s="377">
        <f t="shared" si="1"/>
        <v>3569030.2859700001</v>
      </c>
      <c r="J22" s="376">
        <f>OPEX!G645</f>
        <v>4038092.1</v>
      </c>
      <c r="K22" s="380">
        <f t="shared" si="0"/>
        <v>-469061.81403000001</v>
      </c>
      <c r="L22" s="381"/>
    </row>
    <row r="23" spans="1:12">
      <c r="A23" s="374"/>
      <c r="B23" s="368" t="s">
        <v>599</v>
      </c>
      <c r="C23" s="377">
        <f>OPEX!G712</f>
        <v>2341673.8848600001</v>
      </c>
      <c r="D23" s="376">
        <f>OPEX!G734</f>
        <v>782875.73488</v>
      </c>
      <c r="E23" s="377">
        <f>OPEX!G740</f>
        <v>100040</v>
      </c>
      <c r="F23" s="376">
        <f>OPEX!G742</f>
        <v>104900.048</v>
      </c>
      <c r="G23" s="377">
        <f t="shared" si="2"/>
        <v>3329489.6677399999</v>
      </c>
      <c r="H23" s="376">
        <v>0</v>
      </c>
      <c r="I23" s="377">
        <f t="shared" si="1"/>
        <v>3329489.6677399999</v>
      </c>
      <c r="J23" s="376">
        <f>OPEX!G699</f>
        <v>2287905.3196999999</v>
      </c>
      <c r="K23" s="380">
        <f t="shared" si="0"/>
        <v>1041584.3480400001</v>
      </c>
      <c r="L23" s="381"/>
    </row>
    <row r="24" spans="1:12">
      <c r="A24" s="374"/>
      <c r="B24" s="368" t="s">
        <v>600</v>
      </c>
      <c r="C24" s="375">
        <f>OPEX!G768</f>
        <v>884104.63667000004</v>
      </c>
      <c r="D24" s="376">
        <f>OPEX!G780</f>
        <v>726892.96811200003</v>
      </c>
      <c r="E24" s="377">
        <f>OPEX!G784</f>
        <v>25000</v>
      </c>
      <c r="F24" s="376">
        <f>OPEX!G786</f>
        <v>162748.60800000001</v>
      </c>
      <c r="G24" s="377">
        <f t="shared" si="2"/>
        <v>1798746.2127820002</v>
      </c>
      <c r="H24" s="376">
        <v>0</v>
      </c>
      <c r="I24" s="377">
        <f>SUM(G24:H24)</f>
        <v>1798746.2127820002</v>
      </c>
      <c r="J24" s="376">
        <f>OPEX!G756</f>
        <v>665083.6</v>
      </c>
      <c r="K24" s="380">
        <f t="shared" si="0"/>
        <v>1133662.6127820001</v>
      </c>
      <c r="L24" s="381"/>
    </row>
    <row r="25" spans="1:12">
      <c r="A25" s="374"/>
      <c r="B25" s="368" t="s">
        <v>601</v>
      </c>
      <c r="C25" s="377">
        <f>0</f>
        <v>0</v>
      </c>
      <c r="D25" s="376">
        <f>0</f>
        <v>0</v>
      </c>
      <c r="E25" s="377">
        <f>OPEX!G805</f>
        <v>30000</v>
      </c>
      <c r="F25" s="376">
        <f>0</f>
        <v>0</v>
      </c>
      <c r="G25" s="377">
        <f t="shared" si="2"/>
        <v>30000</v>
      </c>
      <c r="H25" s="376">
        <v>0</v>
      </c>
      <c r="I25" s="377">
        <f>SUM(G25:H25)</f>
        <v>30000</v>
      </c>
      <c r="J25" s="376">
        <f>OPEX!G799</f>
        <v>3231.0740000000001</v>
      </c>
      <c r="K25" s="380">
        <f t="shared" si="0"/>
        <v>26768.925999999999</v>
      </c>
      <c r="L25" s="379"/>
    </row>
    <row r="26" spans="1:12">
      <c r="A26" s="374"/>
      <c r="B26" s="368" t="s">
        <v>226</v>
      </c>
      <c r="C26" s="377">
        <f>0</f>
        <v>0</v>
      </c>
      <c r="D26" s="376">
        <f>OPEX!G824</f>
        <v>1239.7556399999999</v>
      </c>
      <c r="E26" s="377">
        <f>0</f>
        <v>0</v>
      </c>
      <c r="F26" s="376">
        <f>OPEX!G828</f>
        <v>5745.3</v>
      </c>
      <c r="G26" s="377">
        <f t="shared" si="2"/>
        <v>6985.0556400000005</v>
      </c>
      <c r="H26" s="376"/>
      <c r="I26" s="377">
        <f>SUM(G26:H26)</f>
        <v>6985.0556400000005</v>
      </c>
      <c r="J26" s="376">
        <f>OPEX!G820</f>
        <v>1987810</v>
      </c>
      <c r="K26" s="380">
        <f t="shared" si="0"/>
        <v>-1980824.9443600001</v>
      </c>
      <c r="L26" s="381"/>
    </row>
    <row r="27" spans="1:12">
      <c r="A27" s="374"/>
      <c r="B27" s="368" t="s">
        <v>231</v>
      </c>
      <c r="C27" s="377">
        <f>0</f>
        <v>0</v>
      </c>
      <c r="D27" s="376">
        <f>OPEX!G853</f>
        <v>44102.6</v>
      </c>
      <c r="E27" s="377">
        <f>OPEX!G856</f>
        <v>6000</v>
      </c>
      <c r="F27" s="376">
        <f>OPEX!G858</f>
        <v>70380.2</v>
      </c>
      <c r="G27" s="377">
        <f t="shared" si="2"/>
        <v>120482.79999999999</v>
      </c>
      <c r="H27" s="376">
        <v>0</v>
      </c>
      <c r="I27" s="377">
        <f t="shared" si="1"/>
        <v>120482.79999999999</v>
      </c>
      <c r="J27" s="376">
        <f>OPEX!G841</f>
        <v>0</v>
      </c>
      <c r="K27" s="380">
        <f t="shared" si="0"/>
        <v>120482.79999999999</v>
      </c>
      <c r="L27" s="379"/>
    </row>
    <row r="28" spans="1:12" ht="15" thickBot="1">
      <c r="A28" s="374"/>
      <c r="B28" s="368"/>
      <c r="C28" s="383">
        <f>SUM(C8:C27)</f>
        <v>25065288.015025001</v>
      </c>
      <c r="D28" s="383">
        <f t="shared" ref="D28:K28" si="3">SUM(D8:D27)</f>
        <v>14314750.902876999</v>
      </c>
      <c r="E28" s="383">
        <f t="shared" si="3"/>
        <v>2498274.50104</v>
      </c>
      <c r="F28" s="383">
        <f t="shared" si="3"/>
        <v>1651514.6950000001</v>
      </c>
      <c r="G28" s="383">
        <f t="shared" si="3"/>
        <v>43529828.113942005</v>
      </c>
      <c r="H28" s="383">
        <f t="shared" si="3"/>
        <v>0</v>
      </c>
      <c r="I28" s="383">
        <f t="shared" si="3"/>
        <v>43529828.113942005</v>
      </c>
      <c r="J28" s="383">
        <f t="shared" si="3"/>
        <v>41663840.419200003</v>
      </c>
      <c r="K28" s="383">
        <f t="shared" si="3"/>
        <v>1865987.694742</v>
      </c>
      <c r="L28" s="379"/>
    </row>
    <row r="29" spans="1:12">
      <c r="A29" s="374"/>
      <c r="B29" s="368"/>
      <c r="C29" s="380"/>
      <c r="D29" s="384"/>
      <c r="E29" s="380"/>
      <c r="F29" s="384"/>
      <c r="G29" s="380"/>
      <c r="H29" s="384"/>
      <c r="I29" s="380"/>
      <c r="J29" s="384"/>
      <c r="K29" s="380"/>
      <c r="L29" s="379"/>
    </row>
    <row r="30" spans="1:12">
      <c r="A30" s="374"/>
      <c r="B30" s="368" t="s">
        <v>602</v>
      </c>
      <c r="C30" s="377">
        <f>OPEX!G892</f>
        <v>1781872.9609800002</v>
      </c>
      <c r="D30" s="376">
        <f>OPEX!G912+OPEX!G922+OPEX!G934</f>
        <v>15658743.447689999</v>
      </c>
      <c r="E30" s="377">
        <f>OPEX!G918</f>
        <v>393230</v>
      </c>
      <c r="F30" s="376">
        <f>OPEX!G924</f>
        <v>487284.6</v>
      </c>
      <c r="G30" s="377">
        <f t="shared" si="2"/>
        <v>18321131.008670002</v>
      </c>
      <c r="H30" s="376">
        <v>0</v>
      </c>
      <c r="I30" s="377">
        <f t="shared" si="1"/>
        <v>18321131.008670002</v>
      </c>
      <c r="J30" s="376">
        <f>OPEX!G880</f>
        <v>20665607.621177997</v>
      </c>
      <c r="K30" s="380">
        <f t="shared" si="0"/>
        <v>-2344476.6125079952</v>
      </c>
      <c r="L30" s="379"/>
    </row>
    <row r="31" spans="1:12">
      <c r="A31" s="374"/>
      <c r="B31" s="368" t="s">
        <v>6</v>
      </c>
      <c r="C31" s="377">
        <f>OPEX!G959</f>
        <v>157936.28343000001</v>
      </c>
      <c r="D31" s="376">
        <f>OPEX!G966</f>
        <v>9896.5300000000007</v>
      </c>
      <c r="E31" s="377">
        <f>OPEX!G969</f>
        <v>50000</v>
      </c>
      <c r="F31" s="376">
        <f>0</f>
        <v>0</v>
      </c>
      <c r="G31" s="377">
        <f t="shared" si="2"/>
        <v>217832.81343000001</v>
      </c>
      <c r="H31" s="376">
        <v>0</v>
      </c>
      <c r="I31" s="377">
        <f t="shared" si="1"/>
        <v>217832.81343000001</v>
      </c>
      <c r="J31" s="376">
        <f>OPEX!G947</f>
        <v>0</v>
      </c>
      <c r="K31" s="380">
        <f t="shared" si="0"/>
        <v>217832.81343000001</v>
      </c>
      <c r="L31" s="381"/>
    </row>
    <row r="32" spans="1:12">
      <c r="A32" s="374"/>
      <c r="B32" s="368" t="s">
        <v>603</v>
      </c>
      <c r="C32" s="375">
        <f>OPEX!G1043</f>
        <v>3105017.4026400005</v>
      </c>
      <c r="D32" s="376">
        <f>OPEX!G1055</f>
        <v>473682.02124000003</v>
      </c>
      <c r="E32" s="377">
        <f>OPEX!G1061</f>
        <v>212520</v>
      </c>
      <c r="F32" s="376">
        <f>OPEX!G1064</f>
        <v>291380.386</v>
      </c>
      <c r="G32" s="377">
        <f>SUM(C32:F32)</f>
        <v>4082599.8098800005</v>
      </c>
      <c r="H32" s="376">
        <v>0</v>
      </c>
      <c r="I32" s="377">
        <f>SUM(G32:H32)</f>
        <v>4082599.8098800005</v>
      </c>
      <c r="J32" s="376">
        <f>OPEX!G1031</f>
        <v>3741581.25</v>
      </c>
      <c r="K32" s="380">
        <f t="shared" si="0"/>
        <v>341018.55988000054</v>
      </c>
      <c r="L32" s="381"/>
    </row>
    <row r="33" spans="1:12">
      <c r="A33" s="374"/>
      <c r="B33" s="368" t="s">
        <v>258</v>
      </c>
      <c r="C33" s="375">
        <f>OPEX!G997</f>
        <v>197116.83</v>
      </c>
      <c r="D33" s="385">
        <f>OPEX!G1006</f>
        <v>172520</v>
      </c>
      <c r="E33" s="377">
        <f>OPEX!G1009</f>
        <v>0</v>
      </c>
      <c r="F33" s="376">
        <f>OPEX!G1013</f>
        <v>0</v>
      </c>
      <c r="G33" s="377">
        <f t="shared" si="2"/>
        <v>369636.82999999996</v>
      </c>
      <c r="H33" s="376">
        <v>0</v>
      </c>
      <c r="I33" s="377">
        <f t="shared" si="1"/>
        <v>369636.82999999996</v>
      </c>
      <c r="J33" s="376">
        <f>OPEX!G985</f>
        <v>450000</v>
      </c>
      <c r="K33" s="380">
        <f t="shared" si="0"/>
        <v>-80363.170000000042</v>
      </c>
      <c r="L33" s="379"/>
    </row>
    <row r="34" spans="1:12" ht="15" thickBot="1">
      <c r="A34" s="374"/>
      <c r="C34" s="387">
        <f>SUM(C30:C33)</f>
        <v>5241943.4770500008</v>
      </c>
      <c r="D34" s="387">
        <f t="shared" ref="D34:J34" si="4">SUM(D30:D33)</f>
        <v>16314841.998929998</v>
      </c>
      <c r="E34" s="387">
        <f t="shared" si="4"/>
        <v>655750</v>
      </c>
      <c r="F34" s="387">
        <f t="shared" si="4"/>
        <v>778664.98600000003</v>
      </c>
      <c r="G34" s="387">
        <f t="shared" si="4"/>
        <v>22991200.46198</v>
      </c>
      <c r="H34" s="387">
        <f t="shared" si="4"/>
        <v>0</v>
      </c>
      <c r="I34" s="387">
        <f t="shared" si="4"/>
        <v>22991200.46198</v>
      </c>
      <c r="J34" s="387">
        <f t="shared" si="4"/>
        <v>24857188.871177997</v>
      </c>
      <c r="K34" s="387">
        <f>SUM(K30:K33)</f>
        <v>-1865988.4091979945</v>
      </c>
      <c r="L34" s="379"/>
    </row>
    <row r="35" spans="1:12">
      <c r="A35" s="374"/>
      <c r="C35" s="388"/>
      <c r="D35" s="388"/>
      <c r="E35" s="388"/>
      <c r="F35" s="388"/>
      <c r="G35" s="388"/>
      <c r="H35" s="388"/>
      <c r="I35" s="388"/>
      <c r="J35" s="388"/>
      <c r="K35" s="388"/>
      <c r="L35" s="379"/>
    </row>
    <row r="36" spans="1:12" ht="15" thickBot="1">
      <c r="A36" s="374"/>
      <c r="B36" s="389" t="s">
        <v>604</v>
      </c>
      <c r="C36" s="390">
        <f>+C34+C28</f>
        <v>30307231.492075004</v>
      </c>
      <c r="D36" s="390">
        <f t="shared" ref="D36:K36" si="5">+D34+D28</f>
        <v>30629592.901806995</v>
      </c>
      <c r="E36" s="390">
        <f t="shared" si="5"/>
        <v>3154024.50104</v>
      </c>
      <c r="F36" s="390">
        <f t="shared" si="5"/>
        <v>2430179.6809999999</v>
      </c>
      <c r="G36" s="390">
        <f t="shared" si="5"/>
        <v>66521028.575922005</v>
      </c>
      <c r="H36" s="390">
        <f t="shared" si="5"/>
        <v>0</v>
      </c>
      <c r="I36" s="390">
        <f t="shared" si="5"/>
        <v>66521028.575922005</v>
      </c>
      <c r="J36" s="390">
        <f t="shared" si="5"/>
        <v>66521029.290378004</v>
      </c>
      <c r="K36" s="390">
        <f t="shared" si="5"/>
        <v>-0.71445599454455078</v>
      </c>
      <c r="L36" s="379"/>
    </row>
    <row r="37" spans="1:12">
      <c r="A37" s="374"/>
      <c r="C37" s="384"/>
      <c r="D37" s="384"/>
      <c r="E37" s="384"/>
      <c r="F37" s="384"/>
      <c r="G37" s="384"/>
      <c r="H37" s="384"/>
      <c r="I37" s="384"/>
      <c r="J37" s="384"/>
      <c r="K37" s="384"/>
      <c r="L37" s="379"/>
    </row>
    <row r="38" spans="1:12">
      <c r="A38" s="374"/>
      <c r="C38" s="384"/>
      <c r="D38" s="384"/>
      <c r="E38" s="384"/>
      <c r="F38" s="384"/>
      <c r="G38" s="384"/>
      <c r="H38" s="384"/>
      <c r="I38" s="384"/>
      <c r="J38" s="384"/>
      <c r="K38" s="384"/>
      <c r="L38" s="379"/>
    </row>
    <row r="39" spans="1:12">
      <c r="A39" s="374"/>
      <c r="B39" s="391" t="s">
        <v>605</v>
      </c>
      <c r="C39" s="391"/>
      <c r="D39" s="392"/>
      <c r="E39" s="384"/>
      <c r="F39" s="384"/>
      <c r="G39" s="384"/>
      <c r="H39" s="384"/>
      <c r="I39" s="384"/>
      <c r="J39" s="384"/>
      <c r="K39" s="384"/>
      <c r="L39" s="379"/>
    </row>
    <row r="40" spans="1:12">
      <c r="A40" s="374"/>
      <c r="B40" s="393"/>
      <c r="C40" s="394" t="s">
        <v>339</v>
      </c>
      <c r="D40" s="394" t="s">
        <v>580</v>
      </c>
      <c r="E40" s="394" t="s">
        <v>581</v>
      </c>
      <c r="F40" s="394" t="s">
        <v>582</v>
      </c>
      <c r="G40" s="394" t="s">
        <v>583</v>
      </c>
      <c r="H40" s="394" t="s">
        <v>584</v>
      </c>
      <c r="I40" s="394" t="s">
        <v>583</v>
      </c>
      <c r="J40" s="394" t="s">
        <v>583</v>
      </c>
      <c r="K40" s="395" t="s">
        <v>585</v>
      </c>
      <c r="L40" s="379"/>
    </row>
    <row r="41" spans="1:12">
      <c r="A41" s="374"/>
      <c r="B41" s="396"/>
      <c r="C41" s="397" t="s">
        <v>586</v>
      </c>
      <c r="D41" s="397" t="s">
        <v>587</v>
      </c>
      <c r="E41" s="397" t="s">
        <v>588</v>
      </c>
      <c r="F41" s="397" t="s">
        <v>589</v>
      </c>
      <c r="G41" s="397"/>
      <c r="H41" s="397" t="s">
        <v>590</v>
      </c>
      <c r="I41" s="397" t="s">
        <v>22</v>
      </c>
      <c r="J41" s="397" t="s">
        <v>16</v>
      </c>
      <c r="K41" s="398" t="s">
        <v>591</v>
      </c>
      <c r="L41" s="379"/>
    </row>
    <row r="42" spans="1:12">
      <c r="A42" s="374"/>
      <c r="B42" s="396"/>
      <c r="C42" s="394"/>
      <c r="D42" s="394"/>
      <c r="E42" s="394"/>
      <c r="F42" s="394"/>
      <c r="G42" s="394"/>
      <c r="H42" s="394"/>
      <c r="I42" s="394"/>
      <c r="J42" s="394"/>
      <c r="K42" s="395"/>
      <c r="L42" s="379"/>
    </row>
    <row r="43" spans="1:12">
      <c r="A43" s="374"/>
      <c r="B43" s="396" t="s">
        <v>286</v>
      </c>
      <c r="C43" s="399">
        <f>+C8+C9</f>
        <v>7012741.9670250006</v>
      </c>
      <c r="D43" s="399">
        <f t="shared" ref="D43:J43" si="6">+D8+D9</f>
        <v>3508258.0858800001</v>
      </c>
      <c r="E43" s="399">
        <f t="shared" si="6"/>
        <v>132277.65</v>
      </c>
      <c r="F43" s="399">
        <f t="shared" si="6"/>
        <v>126802.08100000001</v>
      </c>
      <c r="G43" s="399">
        <f t="shared" si="6"/>
        <v>10780079.783904999</v>
      </c>
      <c r="H43" s="399">
        <f t="shared" si="6"/>
        <v>0</v>
      </c>
      <c r="I43" s="399">
        <f t="shared" si="6"/>
        <v>10780079.783904999</v>
      </c>
      <c r="J43" s="399">
        <f t="shared" si="6"/>
        <v>7808826</v>
      </c>
      <c r="K43" s="400">
        <f>+I43-J43</f>
        <v>2971253.7839049995</v>
      </c>
      <c r="L43" s="379"/>
    </row>
    <row r="44" spans="1:12">
      <c r="A44" s="374"/>
      <c r="B44" s="396" t="s">
        <v>606</v>
      </c>
      <c r="C44" s="399">
        <f>+C10+C11</f>
        <v>4644682.1571600009</v>
      </c>
      <c r="D44" s="399">
        <f t="shared" ref="D44:J44" si="7">+D10+D11</f>
        <v>3728048.9619399998</v>
      </c>
      <c r="E44" s="399">
        <f t="shared" si="7"/>
        <v>47427.700239999998</v>
      </c>
      <c r="F44" s="399">
        <f t="shared" si="7"/>
        <v>58226.184000000001</v>
      </c>
      <c r="G44" s="399">
        <f t="shared" si="7"/>
        <v>8478385.0033400003</v>
      </c>
      <c r="H44" s="399">
        <f t="shared" si="7"/>
        <v>0</v>
      </c>
      <c r="I44" s="399">
        <f t="shared" si="7"/>
        <v>8478385.0033400003</v>
      </c>
      <c r="J44" s="399">
        <f t="shared" si="7"/>
        <v>17529006.541500002</v>
      </c>
      <c r="K44" s="400">
        <f t="shared" ref="K44:K55" si="8">+I44-J44</f>
        <v>-9050621.5381600019</v>
      </c>
      <c r="L44" s="379"/>
    </row>
    <row r="45" spans="1:12">
      <c r="A45" s="374"/>
      <c r="B45" s="396" t="s">
        <v>607</v>
      </c>
      <c r="C45" s="399">
        <f>+C12+C13+C18+C14</f>
        <v>4828010.9829400005</v>
      </c>
      <c r="D45" s="399">
        <f t="shared" ref="D45:J45" si="9">+D12+D13+D18+D14</f>
        <v>2728530.3451950001</v>
      </c>
      <c r="E45" s="399">
        <f t="shared" si="9"/>
        <v>720200</v>
      </c>
      <c r="F45" s="399">
        <f t="shared" si="9"/>
        <v>430849.20100000006</v>
      </c>
      <c r="G45" s="399">
        <f t="shared" si="9"/>
        <v>8707590.529135</v>
      </c>
      <c r="H45" s="399">
        <f t="shared" si="9"/>
        <v>0</v>
      </c>
      <c r="I45" s="399">
        <f t="shared" si="9"/>
        <v>8707590.529135</v>
      </c>
      <c r="J45" s="399">
        <f t="shared" si="9"/>
        <v>2040425.2</v>
      </c>
      <c r="K45" s="400">
        <f t="shared" si="8"/>
        <v>6667165.3291349998</v>
      </c>
      <c r="L45" s="379"/>
    </row>
    <row r="46" spans="1:12">
      <c r="A46" s="374"/>
      <c r="B46" s="396" t="s">
        <v>608</v>
      </c>
      <c r="C46" s="399">
        <f>+C19+C20</f>
        <v>1923505.6608199999</v>
      </c>
      <c r="D46" s="399">
        <f t="shared" ref="D46:J46" si="10">+D19+D20</f>
        <v>870508.47100000002</v>
      </c>
      <c r="E46" s="399">
        <f t="shared" si="10"/>
        <v>15000</v>
      </c>
      <c r="F46" s="399">
        <f t="shared" si="10"/>
        <v>38261.622000000003</v>
      </c>
      <c r="G46" s="399">
        <f t="shared" si="10"/>
        <v>2847275.7538199998</v>
      </c>
      <c r="H46" s="399">
        <f t="shared" si="10"/>
        <v>0</v>
      </c>
      <c r="I46" s="399">
        <f t="shared" si="10"/>
        <v>2847275.7538199998</v>
      </c>
      <c r="J46" s="399">
        <f t="shared" si="10"/>
        <v>1781496.8119999999</v>
      </c>
      <c r="K46" s="400">
        <f t="shared" si="8"/>
        <v>1065778.9418199998</v>
      </c>
      <c r="L46" s="379"/>
    </row>
    <row r="47" spans="1:12">
      <c r="A47" s="374"/>
      <c r="B47" s="396" t="s">
        <v>609</v>
      </c>
      <c r="C47" s="399">
        <f>+C16+C17</f>
        <v>1125630.5255899997</v>
      </c>
      <c r="D47" s="399">
        <f t="shared" ref="D47:J47" si="11">+D16+D17</f>
        <v>194921.72984999997</v>
      </c>
      <c r="E47" s="399">
        <f t="shared" si="11"/>
        <v>31411.65</v>
      </c>
      <c r="F47" s="399">
        <f t="shared" si="11"/>
        <v>128117.012</v>
      </c>
      <c r="G47" s="399">
        <f t="shared" si="11"/>
        <v>1480080.91744</v>
      </c>
      <c r="H47" s="399">
        <f t="shared" si="11"/>
        <v>0</v>
      </c>
      <c r="I47" s="399">
        <f t="shared" si="11"/>
        <v>1480080.91744</v>
      </c>
      <c r="J47" s="399">
        <f t="shared" si="11"/>
        <v>1467094.7719999999</v>
      </c>
      <c r="K47" s="400">
        <f t="shared" si="8"/>
        <v>12986.145440000109</v>
      </c>
      <c r="L47" s="379"/>
    </row>
    <row r="48" spans="1:12">
      <c r="A48" s="374"/>
      <c r="B48" s="396" t="s">
        <v>610</v>
      </c>
      <c r="C48" s="399">
        <f>+C24+C25</f>
        <v>884104.63667000004</v>
      </c>
      <c r="D48" s="399">
        <f t="shared" ref="D48:J48" si="12">+D24+D25</f>
        <v>726892.96811200003</v>
      </c>
      <c r="E48" s="399">
        <f t="shared" si="12"/>
        <v>55000</v>
      </c>
      <c r="F48" s="399">
        <f t="shared" si="12"/>
        <v>162748.60800000001</v>
      </c>
      <c r="G48" s="399">
        <f t="shared" si="12"/>
        <v>1828746.2127820002</v>
      </c>
      <c r="H48" s="399">
        <f t="shared" si="12"/>
        <v>0</v>
      </c>
      <c r="I48" s="399">
        <f t="shared" si="12"/>
        <v>1828746.2127820002</v>
      </c>
      <c r="J48" s="399">
        <f t="shared" si="12"/>
        <v>668314.674</v>
      </c>
      <c r="K48" s="400">
        <f t="shared" si="8"/>
        <v>1160431.5387820001</v>
      </c>
      <c r="L48" s="379"/>
    </row>
    <row r="49" spans="1:12">
      <c r="A49" s="374"/>
      <c r="B49" s="396" t="s">
        <v>274</v>
      </c>
      <c r="C49" s="399">
        <f>C33</f>
        <v>197116.83</v>
      </c>
      <c r="D49" s="399">
        <f t="shared" ref="D49:J49" si="13">D33</f>
        <v>172520</v>
      </c>
      <c r="E49" s="399">
        <f t="shared" si="13"/>
        <v>0</v>
      </c>
      <c r="F49" s="399">
        <f t="shared" si="13"/>
        <v>0</v>
      </c>
      <c r="G49" s="399">
        <f t="shared" si="13"/>
        <v>369636.82999999996</v>
      </c>
      <c r="H49" s="399">
        <f t="shared" si="13"/>
        <v>0</v>
      </c>
      <c r="I49" s="399">
        <f t="shared" si="13"/>
        <v>369636.82999999996</v>
      </c>
      <c r="J49" s="399">
        <f t="shared" si="13"/>
        <v>450000</v>
      </c>
      <c r="K49" s="400">
        <f t="shared" si="8"/>
        <v>-80363.170000000042</v>
      </c>
      <c r="L49" s="379"/>
    </row>
    <row r="50" spans="1:12">
      <c r="A50" s="374"/>
      <c r="B50" s="396" t="s">
        <v>611</v>
      </c>
      <c r="C50" s="399">
        <f>+C21+C23</f>
        <v>2341673.8848600001</v>
      </c>
      <c r="D50" s="399">
        <f t="shared" ref="D50:J50" si="14">+D21+D23</f>
        <v>2009595.7348799999</v>
      </c>
      <c r="E50" s="399">
        <f t="shared" si="14"/>
        <v>100040</v>
      </c>
      <c r="F50" s="399">
        <f t="shared" si="14"/>
        <v>145137.78700000001</v>
      </c>
      <c r="G50" s="399">
        <f t="shared" si="14"/>
        <v>4596447.4067400005</v>
      </c>
      <c r="H50" s="399">
        <f t="shared" si="14"/>
        <v>0</v>
      </c>
      <c r="I50" s="399">
        <f t="shared" si="14"/>
        <v>4596447.4067400005</v>
      </c>
      <c r="J50" s="399">
        <f t="shared" si="14"/>
        <v>2673774.3196999999</v>
      </c>
      <c r="K50" s="400">
        <f t="shared" si="8"/>
        <v>1922673.0870400006</v>
      </c>
      <c r="L50" s="379"/>
    </row>
    <row r="51" spans="1:12">
      <c r="A51" s="374"/>
      <c r="B51" s="396" t="s">
        <v>143</v>
      </c>
      <c r="C51" s="399">
        <f>+C15</f>
        <v>937130.71917000005</v>
      </c>
      <c r="D51" s="399">
        <f t="shared" ref="D51:J51" si="15">+D15</f>
        <v>146452.74600000001</v>
      </c>
      <c r="E51" s="399">
        <f t="shared" si="15"/>
        <v>10000</v>
      </c>
      <c r="F51" s="399">
        <f t="shared" si="15"/>
        <v>21140.9</v>
      </c>
      <c r="G51" s="399">
        <f t="shared" si="15"/>
        <v>1114724.3651699999</v>
      </c>
      <c r="H51" s="399">
        <f t="shared" si="15"/>
        <v>0</v>
      </c>
      <c r="I51" s="399">
        <f t="shared" si="15"/>
        <v>1114724.3651699999</v>
      </c>
      <c r="J51" s="399">
        <f t="shared" si="15"/>
        <v>1669000</v>
      </c>
      <c r="K51" s="400">
        <f t="shared" si="8"/>
        <v>-554275.63483000011</v>
      </c>
      <c r="L51" s="379"/>
    </row>
    <row r="52" spans="1:12">
      <c r="A52" s="374"/>
      <c r="B52" s="396" t="s">
        <v>612</v>
      </c>
      <c r="C52" s="399">
        <f>+C32</f>
        <v>3105017.4026400005</v>
      </c>
      <c r="D52" s="399">
        <f t="shared" ref="D52:J52" si="16">+D32</f>
        <v>473682.02124000003</v>
      </c>
      <c r="E52" s="399">
        <f t="shared" si="16"/>
        <v>212520</v>
      </c>
      <c r="F52" s="399">
        <f t="shared" si="16"/>
        <v>291380.386</v>
      </c>
      <c r="G52" s="399">
        <f t="shared" si="16"/>
        <v>4082599.8098800005</v>
      </c>
      <c r="H52" s="399">
        <f t="shared" si="16"/>
        <v>0</v>
      </c>
      <c r="I52" s="399">
        <f t="shared" si="16"/>
        <v>4082599.8098800005</v>
      </c>
      <c r="J52" s="399">
        <f t="shared" si="16"/>
        <v>3741581.25</v>
      </c>
      <c r="K52" s="400">
        <f t="shared" si="8"/>
        <v>341018.55988000054</v>
      </c>
      <c r="L52" s="379"/>
    </row>
    <row r="53" spans="1:12">
      <c r="A53" s="374"/>
      <c r="B53" s="396" t="s">
        <v>613</v>
      </c>
      <c r="C53" s="399">
        <v>0</v>
      </c>
      <c r="D53" s="399">
        <v>0</v>
      </c>
      <c r="E53" s="399">
        <v>0</v>
      </c>
      <c r="F53" s="399">
        <v>0</v>
      </c>
      <c r="G53" s="399">
        <v>0</v>
      </c>
      <c r="H53" s="399">
        <v>0</v>
      </c>
      <c r="I53" s="399">
        <v>0</v>
      </c>
      <c r="J53" s="399">
        <v>0</v>
      </c>
      <c r="K53" s="400">
        <f t="shared" si="8"/>
        <v>0</v>
      </c>
      <c r="L53" s="379"/>
    </row>
    <row r="54" spans="1:12">
      <c r="A54" s="374"/>
      <c r="B54" s="396" t="s">
        <v>313</v>
      </c>
      <c r="C54" s="399">
        <f>+C30+C31</f>
        <v>1939809.2444100003</v>
      </c>
      <c r="D54" s="399">
        <f t="shared" ref="D54:J54" si="17">+D30+D31</f>
        <v>15668639.977689998</v>
      </c>
      <c r="E54" s="399">
        <f t="shared" si="17"/>
        <v>443230</v>
      </c>
      <c r="F54" s="399">
        <f t="shared" si="17"/>
        <v>487284.6</v>
      </c>
      <c r="G54" s="399">
        <f t="shared" si="17"/>
        <v>18538963.822100002</v>
      </c>
      <c r="H54" s="399">
        <f t="shared" si="17"/>
        <v>0</v>
      </c>
      <c r="I54" s="399">
        <f t="shared" si="17"/>
        <v>18538963.822100002</v>
      </c>
      <c r="J54" s="399">
        <f t="shared" si="17"/>
        <v>20665607.621177997</v>
      </c>
      <c r="K54" s="400">
        <f t="shared" si="8"/>
        <v>-2126643.7990779951</v>
      </c>
      <c r="L54" s="379"/>
    </row>
    <row r="55" spans="1:12">
      <c r="A55" s="374"/>
      <c r="B55" s="396" t="s">
        <v>194</v>
      </c>
      <c r="C55" s="399">
        <f>+C22</f>
        <v>1367807.4807900002</v>
      </c>
      <c r="D55" s="399">
        <f t="shared" ref="D55:J55" si="18">+D22</f>
        <v>356199.50438</v>
      </c>
      <c r="E55" s="399">
        <f t="shared" si="18"/>
        <v>1380917.5008</v>
      </c>
      <c r="F55" s="399">
        <f t="shared" si="18"/>
        <v>464105.8</v>
      </c>
      <c r="G55" s="399">
        <f t="shared" si="18"/>
        <v>3569030.2859700001</v>
      </c>
      <c r="H55" s="399">
        <f t="shared" si="18"/>
        <v>0</v>
      </c>
      <c r="I55" s="399">
        <f t="shared" si="18"/>
        <v>3569030.2859700001</v>
      </c>
      <c r="J55" s="399">
        <f t="shared" si="18"/>
        <v>4038092.1</v>
      </c>
      <c r="K55" s="400">
        <f t="shared" si="8"/>
        <v>-469061.81403000001</v>
      </c>
      <c r="L55" s="379"/>
    </row>
    <row r="56" spans="1:12">
      <c r="A56" s="374"/>
      <c r="B56" s="396" t="s">
        <v>614</v>
      </c>
      <c r="C56" s="401">
        <f>+C26+C27</f>
        <v>0</v>
      </c>
      <c r="D56" s="401">
        <f t="shared" ref="D56:K56" si="19">+D26+D27</f>
        <v>45342.355640000002</v>
      </c>
      <c r="E56" s="401">
        <f t="shared" si="19"/>
        <v>6000</v>
      </c>
      <c r="F56" s="401">
        <f t="shared" si="19"/>
        <v>76125.5</v>
      </c>
      <c r="G56" s="401">
        <f t="shared" si="19"/>
        <v>127467.85563999999</v>
      </c>
      <c r="H56" s="401">
        <f t="shared" si="19"/>
        <v>0</v>
      </c>
      <c r="I56" s="401">
        <f t="shared" si="19"/>
        <v>127467.85563999999</v>
      </c>
      <c r="J56" s="401">
        <f t="shared" si="19"/>
        <v>1987810</v>
      </c>
      <c r="K56" s="402">
        <f t="shared" si="19"/>
        <v>-1860342.14436</v>
      </c>
      <c r="L56" s="379"/>
    </row>
    <row r="57" spans="1:12" ht="15" thickBot="1">
      <c r="A57" s="374"/>
      <c r="B57" s="403"/>
      <c r="C57" s="404">
        <f>SUM(C43:C56)</f>
        <v>30307231.492075004</v>
      </c>
      <c r="D57" s="404">
        <f t="shared" ref="D57:K57" si="20">SUM(D43:D56)</f>
        <v>30629592.901806999</v>
      </c>
      <c r="E57" s="404">
        <f t="shared" si="20"/>
        <v>3154024.50104</v>
      </c>
      <c r="F57" s="404">
        <f t="shared" si="20"/>
        <v>2430179.6809999999</v>
      </c>
      <c r="G57" s="404">
        <f t="shared" si="20"/>
        <v>66521028.575922005</v>
      </c>
      <c r="H57" s="404">
        <f t="shared" si="20"/>
        <v>0</v>
      </c>
      <c r="I57" s="404">
        <f t="shared" si="20"/>
        <v>66521028.575922005</v>
      </c>
      <c r="J57" s="404">
        <f t="shared" si="20"/>
        <v>66521029.290377997</v>
      </c>
      <c r="K57" s="404">
        <f t="shared" si="20"/>
        <v>-0.71445599640719593</v>
      </c>
      <c r="L57" s="379"/>
    </row>
    <row r="58" spans="1:12">
      <c r="A58" s="374"/>
      <c r="C58" s="405"/>
      <c r="D58" s="405"/>
      <c r="E58" s="405"/>
      <c r="F58" s="405"/>
      <c r="G58" s="405"/>
      <c r="H58" s="405"/>
      <c r="I58" s="405"/>
      <c r="J58" s="406"/>
      <c r="K58" s="405"/>
      <c r="L58" s="379"/>
    </row>
    <row r="59" spans="1:12">
      <c r="C59" s="407"/>
      <c r="D59" s="407"/>
      <c r="E59" s="407"/>
      <c r="F59" s="407"/>
      <c r="G59" s="407"/>
      <c r="H59" s="407"/>
      <c r="I59" s="407"/>
      <c r="J59" s="407"/>
      <c r="K59" s="407"/>
    </row>
    <row r="60" spans="1:12">
      <c r="B60" s="408"/>
    </row>
    <row r="61" spans="1:12">
      <c r="B61" s="409"/>
      <c r="C61" s="410"/>
      <c r="D61" s="410"/>
    </row>
    <row r="62" spans="1:12" ht="15" thickBot="1">
      <c r="C62" s="361"/>
      <c r="D62" s="411"/>
    </row>
    <row r="63" spans="1:12" ht="15" thickBot="1">
      <c r="B63" s="412" t="s">
        <v>286</v>
      </c>
    </row>
    <row r="64" spans="1:12">
      <c r="B64" s="413"/>
      <c r="C64" s="414" t="s">
        <v>615</v>
      </c>
      <c r="D64" s="415"/>
      <c r="F64" s="416" t="s">
        <v>281</v>
      </c>
      <c r="G64" s="414" t="s">
        <v>616</v>
      </c>
      <c r="H64" s="415"/>
    </row>
    <row r="65" spans="2:8">
      <c r="B65" s="413"/>
      <c r="C65" s="417" t="s">
        <v>7</v>
      </c>
      <c r="D65" s="418"/>
      <c r="F65" s="419"/>
      <c r="G65" s="417" t="s">
        <v>617</v>
      </c>
      <c r="H65" s="418"/>
    </row>
    <row r="66" spans="2:8">
      <c r="B66" s="413"/>
      <c r="C66" s="417" t="s">
        <v>618</v>
      </c>
      <c r="D66" s="418"/>
      <c r="F66" s="419"/>
      <c r="G66" s="417"/>
      <c r="H66" s="418"/>
    </row>
    <row r="67" spans="2:8" ht="15" thickBot="1">
      <c r="B67" s="420"/>
      <c r="C67" s="417"/>
      <c r="D67" s="418"/>
      <c r="F67" s="421"/>
      <c r="G67" s="422"/>
      <c r="H67" s="423"/>
    </row>
    <row r="68" spans="2:8" ht="15" thickBot="1">
      <c r="B68" s="424" t="s">
        <v>606</v>
      </c>
      <c r="C68" s="417"/>
      <c r="D68" s="418"/>
      <c r="F68" s="419" t="s">
        <v>619</v>
      </c>
      <c r="G68" s="417" t="s">
        <v>620</v>
      </c>
      <c r="H68" s="418"/>
    </row>
    <row r="69" spans="2:8">
      <c r="B69" s="413"/>
      <c r="C69" s="414" t="s">
        <v>621</v>
      </c>
      <c r="D69" s="415"/>
      <c r="F69" s="419"/>
      <c r="G69" s="417" t="s">
        <v>622</v>
      </c>
      <c r="H69" s="418"/>
    </row>
    <row r="70" spans="2:8">
      <c r="B70" s="413"/>
      <c r="C70" s="417" t="s">
        <v>623</v>
      </c>
      <c r="D70" s="418"/>
      <c r="F70" s="419"/>
      <c r="G70" s="417" t="s">
        <v>193</v>
      </c>
      <c r="H70" s="418"/>
    </row>
    <row r="71" spans="2:8">
      <c r="B71" s="413"/>
      <c r="C71" s="417" t="s">
        <v>624</v>
      </c>
      <c r="D71" s="418"/>
      <c r="F71" s="419"/>
      <c r="G71" s="417"/>
      <c r="H71" s="418"/>
    </row>
    <row r="72" spans="2:8" ht="15" thickBot="1">
      <c r="B72" s="420"/>
      <c r="C72" s="417"/>
      <c r="D72" s="418"/>
      <c r="F72" s="419"/>
      <c r="G72" s="417"/>
      <c r="H72" s="418"/>
    </row>
    <row r="73" spans="2:8" ht="15" thickBot="1">
      <c r="B73" s="412" t="s">
        <v>607</v>
      </c>
      <c r="C73" s="422"/>
      <c r="D73" s="423"/>
      <c r="F73" s="416" t="s">
        <v>282</v>
      </c>
      <c r="G73" s="414" t="s">
        <v>625</v>
      </c>
      <c r="H73" s="415"/>
    </row>
    <row r="74" spans="2:8">
      <c r="B74" s="413"/>
      <c r="C74" s="417" t="s">
        <v>626</v>
      </c>
      <c r="D74" s="418"/>
      <c r="F74" s="419"/>
      <c r="G74" s="417" t="s">
        <v>627</v>
      </c>
      <c r="H74" s="418"/>
    </row>
    <row r="75" spans="2:8" ht="15" thickBot="1">
      <c r="B75" s="413"/>
      <c r="C75" s="417" t="s">
        <v>628</v>
      </c>
      <c r="D75" s="418"/>
      <c r="F75" s="421"/>
      <c r="G75" s="422"/>
      <c r="H75" s="423"/>
    </row>
    <row r="76" spans="2:8">
      <c r="B76" s="413"/>
      <c r="C76" s="417" t="s">
        <v>629</v>
      </c>
      <c r="D76" s="418"/>
      <c r="F76" s="419"/>
      <c r="G76" s="417"/>
      <c r="H76" s="418"/>
    </row>
    <row r="77" spans="2:8">
      <c r="B77" s="413"/>
      <c r="C77" s="417" t="s">
        <v>340</v>
      </c>
      <c r="D77" s="418"/>
      <c r="F77" s="419" t="s">
        <v>630</v>
      </c>
      <c r="G77" s="417"/>
      <c r="H77" s="418"/>
    </row>
    <row r="78" spans="2:8" ht="15" thickBot="1">
      <c r="B78" s="420"/>
      <c r="C78" s="417"/>
      <c r="D78" s="418"/>
      <c r="F78" s="419"/>
      <c r="G78" s="417"/>
      <c r="H78" s="418"/>
    </row>
    <row r="79" spans="2:8" ht="15" thickBot="1">
      <c r="B79" s="424" t="s">
        <v>608</v>
      </c>
      <c r="C79" s="417"/>
      <c r="D79" s="418"/>
      <c r="F79" s="416" t="s">
        <v>341</v>
      </c>
      <c r="G79" s="414"/>
      <c r="H79" s="415"/>
    </row>
    <row r="80" spans="2:8">
      <c r="B80" s="413"/>
      <c r="C80" s="414" t="s">
        <v>631</v>
      </c>
      <c r="D80" s="415"/>
      <c r="F80" s="419"/>
      <c r="G80" s="417" t="s">
        <v>632</v>
      </c>
      <c r="H80" s="418"/>
    </row>
    <row r="81" spans="2:8" ht="15" thickBot="1">
      <c r="B81" s="420"/>
      <c r="C81" s="417" t="s">
        <v>633</v>
      </c>
      <c r="D81" s="418"/>
      <c r="F81" s="419"/>
      <c r="G81" s="417" t="s">
        <v>634</v>
      </c>
      <c r="H81" s="418"/>
    </row>
    <row r="82" spans="2:8" ht="15" thickBot="1">
      <c r="B82" s="424" t="s">
        <v>609</v>
      </c>
      <c r="C82" s="422"/>
      <c r="D82" s="423"/>
      <c r="F82" s="421"/>
      <c r="G82" s="422"/>
      <c r="H82" s="423"/>
    </row>
    <row r="83" spans="2:8">
      <c r="B83" s="413"/>
      <c r="C83" s="417" t="s">
        <v>635</v>
      </c>
      <c r="D83" s="418"/>
      <c r="F83" s="419" t="s">
        <v>636</v>
      </c>
      <c r="G83" s="417" t="s">
        <v>626</v>
      </c>
      <c r="H83" s="418"/>
    </row>
    <row r="84" spans="2:8">
      <c r="B84" s="413"/>
      <c r="C84" s="417" t="s">
        <v>637</v>
      </c>
      <c r="D84" s="418"/>
      <c r="F84" s="419"/>
      <c r="G84" s="417" t="s">
        <v>632</v>
      </c>
      <c r="H84" s="418"/>
    </row>
    <row r="85" spans="2:8" ht="15" thickBot="1">
      <c r="B85" s="413"/>
      <c r="C85" s="417"/>
      <c r="D85" s="418"/>
      <c r="F85" s="419"/>
      <c r="G85" s="417"/>
      <c r="H85" s="418"/>
    </row>
    <row r="86" spans="2:8" ht="15" thickBot="1">
      <c r="B86" s="412" t="s">
        <v>610</v>
      </c>
      <c r="C86" s="417"/>
      <c r="D86" s="418"/>
      <c r="F86" s="416" t="s">
        <v>638</v>
      </c>
      <c r="G86" s="414" t="s">
        <v>639</v>
      </c>
      <c r="H86" s="415"/>
    </row>
    <row r="87" spans="2:8">
      <c r="B87" s="413"/>
      <c r="C87" s="414" t="s">
        <v>640</v>
      </c>
      <c r="D87" s="415"/>
      <c r="E87" s="359"/>
      <c r="F87" s="419"/>
      <c r="G87" s="417" t="s">
        <v>641</v>
      </c>
      <c r="H87" s="418"/>
    </row>
    <row r="88" spans="2:8" ht="15" thickBot="1">
      <c r="B88" s="413"/>
      <c r="C88" s="417" t="s">
        <v>642</v>
      </c>
      <c r="D88" s="418"/>
      <c r="E88" s="359"/>
      <c r="F88" s="425"/>
      <c r="G88" s="422"/>
      <c r="H88" s="423"/>
    </row>
    <row r="89" spans="2:8">
      <c r="B89" s="413"/>
      <c r="C89" s="417" t="s">
        <v>643</v>
      </c>
      <c r="D89" s="418"/>
      <c r="F89" s="426" t="s">
        <v>644</v>
      </c>
      <c r="G89" s="417" t="s">
        <v>645</v>
      </c>
      <c r="H89" s="418"/>
    </row>
    <row r="90" spans="2:8">
      <c r="B90" s="413"/>
      <c r="C90" s="417" t="s">
        <v>646</v>
      </c>
      <c r="D90" s="418"/>
      <c r="F90" s="419"/>
      <c r="G90" s="417" t="s">
        <v>647</v>
      </c>
      <c r="H90" s="418"/>
    </row>
    <row r="91" spans="2:8" ht="15" thickBot="1">
      <c r="B91" s="420"/>
      <c r="C91" s="417" t="s">
        <v>648</v>
      </c>
      <c r="D91" s="418"/>
      <c r="F91" s="426"/>
      <c r="G91" s="417" t="s">
        <v>649</v>
      </c>
      <c r="H91" s="418"/>
    </row>
    <row r="92" spans="2:8" ht="15" thickBot="1">
      <c r="C92" s="422"/>
      <c r="D92" s="423"/>
      <c r="F92" s="425"/>
      <c r="G92" s="422"/>
      <c r="H92" s="423"/>
    </row>
  </sheetData>
  <mergeCells count="1">
    <mergeCell ref="J3:K3"/>
  </mergeCells>
  <pageMargins left="0" right="0" top="0" bottom="0" header="0" footer="0"/>
  <pageSetup paperSize="9" scale="6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296"/>
  <sheetViews>
    <sheetView view="pageBreakPreview" topLeftCell="C100" zoomScale="60" zoomScaleNormal="60" workbookViewId="0">
      <selection activeCell="G22" sqref="G22"/>
    </sheetView>
  </sheetViews>
  <sheetFormatPr defaultRowHeight="27"/>
  <cols>
    <col min="1" max="1" width="65.88671875" style="223" customWidth="1"/>
    <col min="2" max="2" width="14.44140625" style="223" customWidth="1"/>
    <col min="3" max="3" width="25.44140625" style="223" customWidth="1"/>
    <col min="4" max="4" width="19.33203125" style="223" customWidth="1"/>
    <col min="5" max="5" width="19.88671875" style="223" customWidth="1"/>
    <col min="6" max="6" width="25.6640625" style="223" customWidth="1"/>
    <col min="7" max="7" width="19.33203125" style="223" customWidth="1"/>
    <col min="8" max="8" width="19.88671875" style="223" customWidth="1"/>
    <col min="9" max="9" width="18.21875" style="223" customWidth="1"/>
    <col min="10" max="10" width="23.44140625" style="223" customWidth="1"/>
    <col min="11" max="23" width="8.88671875" style="223"/>
    <col min="24" max="255" width="7.109375" style="223"/>
    <col min="256" max="256" width="3.88671875" style="223" customWidth="1"/>
    <col min="257" max="257" width="60.88671875" style="223" customWidth="1"/>
    <col min="258" max="258" width="10.5546875" style="223" customWidth="1"/>
    <col min="259" max="259" width="15.109375" style="223" customWidth="1"/>
    <col min="260" max="260" width="16.6640625" style="223" customWidth="1"/>
    <col min="261" max="261" width="15.109375" style="223" customWidth="1"/>
    <col min="262" max="263" width="13.5546875" style="223" bestFit="1" customWidth="1"/>
    <col min="264" max="264" width="8.6640625" style="223" bestFit="1" customWidth="1"/>
    <col min="265" max="511" width="7.109375" style="223"/>
    <col min="512" max="512" width="3.88671875" style="223" customWidth="1"/>
    <col min="513" max="513" width="60.88671875" style="223" customWidth="1"/>
    <col min="514" max="514" width="10.5546875" style="223" customWidth="1"/>
    <col min="515" max="515" width="15.109375" style="223" customWidth="1"/>
    <col min="516" max="516" width="16.6640625" style="223" customWidth="1"/>
    <col min="517" max="517" width="15.109375" style="223" customWidth="1"/>
    <col min="518" max="519" width="13.5546875" style="223" bestFit="1" customWidth="1"/>
    <col min="520" max="520" width="8.6640625" style="223" bestFit="1" customWidth="1"/>
    <col min="521" max="767" width="7.109375" style="223"/>
    <col min="768" max="768" width="3.88671875" style="223" customWidth="1"/>
    <col min="769" max="769" width="60.88671875" style="223" customWidth="1"/>
    <col min="770" max="770" width="10.5546875" style="223" customWidth="1"/>
    <col min="771" max="771" width="15.109375" style="223" customWidth="1"/>
    <col min="772" max="772" width="16.6640625" style="223" customWidth="1"/>
    <col min="773" max="773" width="15.109375" style="223" customWidth="1"/>
    <col min="774" max="775" width="13.5546875" style="223" bestFit="1" customWidth="1"/>
    <col min="776" max="776" width="8.6640625" style="223" bestFit="1" customWidth="1"/>
    <col min="777" max="1023" width="8.88671875" style="223"/>
    <col min="1024" max="1024" width="3.88671875" style="223" customWidth="1"/>
    <col min="1025" max="1025" width="60.88671875" style="223" customWidth="1"/>
    <col min="1026" max="1026" width="10.5546875" style="223" customWidth="1"/>
    <col min="1027" max="1027" width="15.109375" style="223" customWidth="1"/>
    <col min="1028" max="1028" width="16.6640625" style="223" customWidth="1"/>
    <col min="1029" max="1029" width="15.109375" style="223" customWidth="1"/>
    <col min="1030" max="1031" width="13.5546875" style="223" bestFit="1" customWidth="1"/>
    <col min="1032" max="1032" width="8.6640625" style="223" bestFit="1" customWidth="1"/>
    <col min="1033" max="1279" width="7.109375" style="223"/>
    <col min="1280" max="1280" width="3.88671875" style="223" customWidth="1"/>
    <col min="1281" max="1281" width="60.88671875" style="223" customWidth="1"/>
    <col min="1282" max="1282" width="10.5546875" style="223" customWidth="1"/>
    <col min="1283" max="1283" width="15.109375" style="223" customWidth="1"/>
    <col min="1284" max="1284" width="16.6640625" style="223" customWidth="1"/>
    <col min="1285" max="1285" width="15.109375" style="223" customWidth="1"/>
    <col min="1286" max="1287" width="13.5546875" style="223" bestFit="1" customWidth="1"/>
    <col min="1288" max="1288" width="8.6640625" style="223" bestFit="1" customWidth="1"/>
    <col min="1289" max="1535" width="7.109375" style="223"/>
    <col min="1536" max="1536" width="3.88671875" style="223" customWidth="1"/>
    <col min="1537" max="1537" width="60.88671875" style="223" customWidth="1"/>
    <col min="1538" max="1538" width="10.5546875" style="223" customWidth="1"/>
    <col min="1539" max="1539" width="15.109375" style="223" customWidth="1"/>
    <col min="1540" max="1540" width="16.6640625" style="223" customWidth="1"/>
    <col min="1541" max="1541" width="15.109375" style="223" customWidth="1"/>
    <col min="1542" max="1543" width="13.5546875" style="223" bestFit="1" customWidth="1"/>
    <col min="1544" max="1544" width="8.6640625" style="223" bestFit="1" customWidth="1"/>
    <col min="1545" max="1791" width="7.109375" style="223"/>
    <col min="1792" max="1792" width="3.88671875" style="223" customWidth="1"/>
    <col min="1793" max="1793" width="60.88671875" style="223" customWidth="1"/>
    <col min="1794" max="1794" width="10.5546875" style="223" customWidth="1"/>
    <col min="1795" max="1795" width="15.109375" style="223" customWidth="1"/>
    <col min="1796" max="1796" width="16.6640625" style="223" customWidth="1"/>
    <col min="1797" max="1797" width="15.109375" style="223" customWidth="1"/>
    <col min="1798" max="1799" width="13.5546875" style="223" bestFit="1" customWidth="1"/>
    <col min="1800" max="1800" width="8.6640625" style="223" bestFit="1" customWidth="1"/>
    <col min="1801" max="2047" width="8.88671875" style="223"/>
    <col min="2048" max="2048" width="3.88671875" style="223" customWidth="1"/>
    <col min="2049" max="2049" width="60.88671875" style="223" customWidth="1"/>
    <col min="2050" max="2050" width="10.5546875" style="223" customWidth="1"/>
    <col min="2051" max="2051" width="15.109375" style="223" customWidth="1"/>
    <col min="2052" max="2052" width="16.6640625" style="223" customWidth="1"/>
    <col min="2053" max="2053" width="15.109375" style="223" customWidth="1"/>
    <col min="2054" max="2055" width="13.5546875" style="223" bestFit="1" customWidth="1"/>
    <col min="2056" max="2056" width="8.6640625" style="223" bestFit="1" customWidth="1"/>
    <col min="2057" max="2303" width="7.109375" style="223"/>
    <col min="2304" max="2304" width="3.88671875" style="223" customWidth="1"/>
    <col min="2305" max="2305" width="60.88671875" style="223" customWidth="1"/>
    <col min="2306" max="2306" width="10.5546875" style="223" customWidth="1"/>
    <col min="2307" max="2307" width="15.109375" style="223" customWidth="1"/>
    <col min="2308" max="2308" width="16.6640625" style="223" customWidth="1"/>
    <col min="2309" max="2309" width="15.109375" style="223" customWidth="1"/>
    <col min="2310" max="2311" width="13.5546875" style="223" bestFit="1" customWidth="1"/>
    <col min="2312" max="2312" width="8.6640625" style="223" bestFit="1" customWidth="1"/>
    <col min="2313" max="2559" width="7.109375" style="223"/>
    <col min="2560" max="2560" width="3.88671875" style="223" customWidth="1"/>
    <col min="2561" max="2561" width="60.88671875" style="223" customWidth="1"/>
    <col min="2562" max="2562" width="10.5546875" style="223" customWidth="1"/>
    <col min="2563" max="2563" width="15.109375" style="223" customWidth="1"/>
    <col min="2564" max="2564" width="16.6640625" style="223" customWidth="1"/>
    <col min="2565" max="2565" width="15.109375" style="223" customWidth="1"/>
    <col min="2566" max="2567" width="13.5546875" style="223" bestFit="1" customWidth="1"/>
    <col min="2568" max="2568" width="8.6640625" style="223" bestFit="1" customWidth="1"/>
    <col min="2569" max="2815" width="7.109375" style="223"/>
    <col min="2816" max="2816" width="3.88671875" style="223" customWidth="1"/>
    <col min="2817" max="2817" width="60.88671875" style="223" customWidth="1"/>
    <col min="2818" max="2818" width="10.5546875" style="223" customWidth="1"/>
    <col min="2819" max="2819" width="15.109375" style="223" customWidth="1"/>
    <col min="2820" max="2820" width="16.6640625" style="223" customWidth="1"/>
    <col min="2821" max="2821" width="15.109375" style="223" customWidth="1"/>
    <col min="2822" max="2823" width="13.5546875" style="223" bestFit="1" customWidth="1"/>
    <col min="2824" max="2824" width="8.6640625" style="223" bestFit="1" customWidth="1"/>
    <col min="2825" max="3071" width="8.88671875" style="223"/>
    <col min="3072" max="3072" width="3.88671875" style="223" customWidth="1"/>
    <col min="3073" max="3073" width="60.88671875" style="223" customWidth="1"/>
    <col min="3074" max="3074" width="10.5546875" style="223" customWidth="1"/>
    <col min="3075" max="3075" width="15.109375" style="223" customWidth="1"/>
    <col min="3076" max="3076" width="16.6640625" style="223" customWidth="1"/>
    <col min="3077" max="3077" width="15.109375" style="223" customWidth="1"/>
    <col min="3078" max="3079" width="13.5546875" style="223" bestFit="1" customWidth="1"/>
    <col min="3080" max="3080" width="8.6640625" style="223" bestFit="1" customWidth="1"/>
    <col min="3081" max="3327" width="7.109375" style="223"/>
    <col min="3328" max="3328" width="3.88671875" style="223" customWidth="1"/>
    <col min="3329" max="3329" width="60.88671875" style="223" customWidth="1"/>
    <col min="3330" max="3330" width="10.5546875" style="223" customWidth="1"/>
    <col min="3331" max="3331" width="15.109375" style="223" customWidth="1"/>
    <col min="3332" max="3332" width="16.6640625" style="223" customWidth="1"/>
    <col min="3333" max="3333" width="15.109375" style="223" customWidth="1"/>
    <col min="3334" max="3335" width="13.5546875" style="223" bestFit="1" customWidth="1"/>
    <col min="3336" max="3336" width="8.6640625" style="223" bestFit="1" customWidth="1"/>
    <col min="3337" max="3583" width="7.109375" style="223"/>
    <col min="3584" max="3584" width="3.88671875" style="223" customWidth="1"/>
    <col min="3585" max="3585" width="60.88671875" style="223" customWidth="1"/>
    <col min="3586" max="3586" width="10.5546875" style="223" customWidth="1"/>
    <col min="3587" max="3587" width="15.109375" style="223" customWidth="1"/>
    <col min="3588" max="3588" width="16.6640625" style="223" customWidth="1"/>
    <col min="3589" max="3589" width="15.109375" style="223" customWidth="1"/>
    <col min="3590" max="3591" width="13.5546875" style="223" bestFit="1" customWidth="1"/>
    <col min="3592" max="3592" width="8.6640625" style="223" bestFit="1" customWidth="1"/>
    <col min="3593" max="3839" width="7.109375" style="223"/>
    <col min="3840" max="3840" width="3.88671875" style="223" customWidth="1"/>
    <col min="3841" max="3841" width="60.88671875" style="223" customWidth="1"/>
    <col min="3842" max="3842" width="10.5546875" style="223" customWidth="1"/>
    <col min="3843" max="3843" width="15.109375" style="223" customWidth="1"/>
    <col min="3844" max="3844" width="16.6640625" style="223" customWidth="1"/>
    <col min="3845" max="3845" width="15.109375" style="223" customWidth="1"/>
    <col min="3846" max="3847" width="13.5546875" style="223" bestFit="1" customWidth="1"/>
    <col min="3848" max="3848" width="8.6640625" style="223" bestFit="1" customWidth="1"/>
    <col min="3849" max="4095" width="8.88671875" style="223"/>
    <col min="4096" max="4096" width="3.88671875" style="223" customWidth="1"/>
    <col min="4097" max="4097" width="60.88671875" style="223" customWidth="1"/>
    <col min="4098" max="4098" width="10.5546875" style="223" customWidth="1"/>
    <col min="4099" max="4099" width="15.109375" style="223" customWidth="1"/>
    <col min="4100" max="4100" width="16.6640625" style="223" customWidth="1"/>
    <col min="4101" max="4101" width="15.109375" style="223" customWidth="1"/>
    <col min="4102" max="4103" width="13.5546875" style="223" bestFit="1" customWidth="1"/>
    <col min="4104" max="4104" width="8.6640625" style="223" bestFit="1" customWidth="1"/>
    <col min="4105" max="4351" width="7.109375" style="223"/>
    <col min="4352" max="4352" width="3.88671875" style="223" customWidth="1"/>
    <col min="4353" max="4353" width="60.88671875" style="223" customWidth="1"/>
    <col min="4354" max="4354" width="10.5546875" style="223" customWidth="1"/>
    <col min="4355" max="4355" width="15.109375" style="223" customWidth="1"/>
    <col min="4356" max="4356" width="16.6640625" style="223" customWidth="1"/>
    <col min="4357" max="4357" width="15.109375" style="223" customWidth="1"/>
    <col min="4358" max="4359" width="13.5546875" style="223" bestFit="1" customWidth="1"/>
    <col min="4360" max="4360" width="8.6640625" style="223" bestFit="1" customWidth="1"/>
    <col min="4361" max="4607" width="7.109375" style="223"/>
    <col min="4608" max="4608" width="3.88671875" style="223" customWidth="1"/>
    <col min="4609" max="4609" width="60.88671875" style="223" customWidth="1"/>
    <col min="4610" max="4610" width="10.5546875" style="223" customWidth="1"/>
    <col min="4611" max="4611" width="15.109375" style="223" customWidth="1"/>
    <col min="4612" max="4612" width="16.6640625" style="223" customWidth="1"/>
    <col min="4613" max="4613" width="15.109375" style="223" customWidth="1"/>
    <col min="4614" max="4615" width="13.5546875" style="223" bestFit="1" customWidth="1"/>
    <col min="4616" max="4616" width="8.6640625" style="223" bestFit="1" customWidth="1"/>
    <col min="4617" max="4863" width="7.109375" style="223"/>
    <col min="4864" max="4864" width="3.88671875" style="223" customWidth="1"/>
    <col min="4865" max="4865" width="60.88671875" style="223" customWidth="1"/>
    <col min="4866" max="4866" width="10.5546875" style="223" customWidth="1"/>
    <col min="4867" max="4867" width="15.109375" style="223" customWidth="1"/>
    <col min="4868" max="4868" width="16.6640625" style="223" customWidth="1"/>
    <col min="4869" max="4869" width="15.109375" style="223" customWidth="1"/>
    <col min="4870" max="4871" width="13.5546875" style="223" bestFit="1" customWidth="1"/>
    <col min="4872" max="4872" width="8.6640625" style="223" bestFit="1" customWidth="1"/>
    <col min="4873" max="5119" width="8.88671875" style="223"/>
    <col min="5120" max="5120" width="3.88671875" style="223" customWidth="1"/>
    <col min="5121" max="5121" width="60.88671875" style="223" customWidth="1"/>
    <col min="5122" max="5122" width="10.5546875" style="223" customWidth="1"/>
    <col min="5123" max="5123" width="15.109375" style="223" customWidth="1"/>
    <col min="5124" max="5124" width="16.6640625" style="223" customWidth="1"/>
    <col min="5125" max="5125" width="15.109375" style="223" customWidth="1"/>
    <col min="5126" max="5127" width="13.5546875" style="223" bestFit="1" customWidth="1"/>
    <col min="5128" max="5128" width="8.6640625" style="223" bestFit="1" customWidth="1"/>
    <col min="5129" max="5375" width="7.109375" style="223"/>
    <col min="5376" max="5376" width="3.88671875" style="223" customWidth="1"/>
    <col min="5377" max="5377" width="60.88671875" style="223" customWidth="1"/>
    <col min="5378" max="5378" width="10.5546875" style="223" customWidth="1"/>
    <col min="5379" max="5379" width="15.109375" style="223" customWidth="1"/>
    <col min="5380" max="5380" width="16.6640625" style="223" customWidth="1"/>
    <col min="5381" max="5381" width="15.109375" style="223" customWidth="1"/>
    <col min="5382" max="5383" width="13.5546875" style="223" bestFit="1" customWidth="1"/>
    <col min="5384" max="5384" width="8.6640625" style="223" bestFit="1" customWidth="1"/>
    <col min="5385" max="5631" width="7.109375" style="223"/>
    <col min="5632" max="5632" width="3.88671875" style="223" customWidth="1"/>
    <col min="5633" max="5633" width="60.88671875" style="223" customWidth="1"/>
    <col min="5634" max="5634" width="10.5546875" style="223" customWidth="1"/>
    <col min="5635" max="5635" width="15.109375" style="223" customWidth="1"/>
    <col min="5636" max="5636" width="16.6640625" style="223" customWidth="1"/>
    <col min="5637" max="5637" width="15.109375" style="223" customWidth="1"/>
    <col min="5638" max="5639" width="13.5546875" style="223" bestFit="1" customWidth="1"/>
    <col min="5640" max="5640" width="8.6640625" style="223" bestFit="1" customWidth="1"/>
    <col min="5641" max="5887" width="7.109375" style="223"/>
    <col min="5888" max="5888" width="3.88671875" style="223" customWidth="1"/>
    <col min="5889" max="5889" width="60.88671875" style="223" customWidth="1"/>
    <col min="5890" max="5890" width="10.5546875" style="223" customWidth="1"/>
    <col min="5891" max="5891" width="15.109375" style="223" customWidth="1"/>
    <col min="5892" max="5892" width="16.6640625" style="223" customWidth="1"/>
    <col min="5893" max="5893" width="15.109375" style="223" customWidth="1"/>
    <col min="5894" max="5895" width="13.5546875" style="223" bestFit="1" customWidth="1"/>
    <col min="5896" max="5896" width="8.6640625" style="223" bestFit="1" customWidth="1"/>
    <col min="5897" max="6143" width="8.88671875" style="223"/>
    <col min="6144" max="6144" width="3.88671875" style="223" customWidth="1"/>
    <col min="6145" max="6145" width="60.88671875" style="223" customWidth="1"/>
    <col min="6146" max="6146" width="10.5546875" style="223" customWidth="1"/>
    <col min="6147" max="6147" width="15.109375" style="223" customWidth="1"/>
    <col min="6148" max="6148" width="16.6640625" style="223" customWidth="1"/>
    <col min="6149" max="6149" width="15.109375" style="223" customWidth="1"/>
    <col min="6150" max="6151" width="13.5546875" style="223" bestFit="1" customWidth="1"/>
    <col min="6152" max="6152" width="8.6640625" style="223" bestFit="1" customWidth="1"/>
    <col min="6153" max="6399" width="7.109375" style="223"/>
    <col min="6400" max="6400" width="3.88671875" style="223" customWidth="1"/>
    <col min="6401" max="6401" width="60.88671875" style="223" customWidth="1"/>
    <col min="6402" max="6402" width="10.5546875" style="223" customWidth="1"/>
    <col min="6403" max="6403" width="15.109375" style="223" customWidth="1"/>
    <col min="6404" max="6404" width="16.6640625" style="223" customWidth="1"/>
    <col min="6405" max="6405" width="15.109375" style="223" customWidth="1"/>
    <col min="6406" max="6407" width="13.5546875" style="223" bestFit="1" customWidth="1"/>
    <col min="6408" max="6408" width="8.6640625" style="223" bestFit="1" customWidth="1"/>
    <col min="6409" max="6655" width="7.109375" style="223"/>
    <col min="6656" max="6656" width="3.88671875" style="223" customWidth="1"/>
    <col min="6657" max="6657" width="60.88671875" style="223" customWidth="1"/>
    <col min="6658" max="6658" width="10.5546875" style="223" customWidth="1"/>
    <col min="6659" max="6659" width="15.109375" style="223" customWidth="1"/>
    <col min="6660" max="6660" width="16.6640625" style="223" customWidth="1"/>
    <col min="6661" max="6661" width="15.109375" style="223" customWidth="1"/>
    <col min="6662" max="6663" width="13.5546875" style="223" bestFit="1" customWidth="1"/>
    <col min="6664" max="6664" width="8.6640625" style="223" bestFit="1" customWidth="1"/>
    <col min="6665" max="6911" width="7.109375" style="223"/>
    <col min="6912" max="6912" width="3.88671875" style="223" customWidth="1"/>
    <col min="6913" max="6913" width="60.88671875" style="223" customWidth="1"/>
    <col min="6914" max="6914" width="10.5546875" style="223" customWidth="1"/>
    <col min="6915" max="6915" width="15.109375" style="223" customWidth="1"/>
    <col min="6916" max="6916" width="16.6640625" style="223" customWidth="1"/>
    <col min="6917" max="6917" width="15.109375" style="223" customWidth="1"/>
    <col min="6918" max="6919" width="13.5546875" style="223" bestFit="1" customWidth="1"/>
    <col min="6920" max="6920" width="8.6640625" style="223" bestFit="1" customWidth="1"/>
    <col min="6921" max="7167" width="8.88671875" style="223"/>
    <col min="7168" max="7168" width="3.88671875" style="223" customWidth="1"/>
    <col min="7169" max="7169" width="60.88671875" style="223" customWidth="1"/>
    <col min="7170" max="7170" width="10.5546875" style="223" customWidth="1"/>
    <col min="7171" max="7171" width="15.109375" style="223" customWidth="1"/>
    <col min="7172" max="7172" width="16.6640625" style="223" customWidth="1"/>
    <col min="7173" max="7173" width="15.109375" style="223" customWidth="1"/>
    <col min="7174" max="7175" width="13.5546875" style="223" bestFit="1" customWidth="1"/>
    <col min="7176" max="7176" width="8.6640625" style="223" bestFit="1" customWidth="1"/>
    <col min="7177" max="7423" width="7.109375" style="223"/>
    <col min="7424" max="7424" width="3.88671875" style="223" customWidth="1"/>
    <col min="7425" max="7425" width="60.88671875" style="223" customWidth="1"/>
    <col min="7426" max="7426" width="10.5546875" style="223" customWidth="1"/>
    <col min="7427" max="7427" width="15.109375" style="223" customWidth="1"/>
    <col min="7428" max="7428" width="16.6640625" style="223" customWidth="1"/>
    <col min="7429" max="7429" width="15.109375" style="223" customWidth="1"/>
    <col min="7430" max="7431" width="13.5546875" style="223" bestFit="1" customWidth="1"/>
    <col min="7432" max="7432" width="8.6640625" style="223" bestFit="1" customWidth="1"/>
    <col min="7433" max="7679" width="7.109375" style="223"/>
    <col min="7680" max="7680" width="3.88671875" style="223" customWidth="1"/>
    <col min="7681" max="7681" width="60.88671875" style="223" customWidth="1"/>
    <col min="7682" max="7682" width="10.5546875" style="223" customWidth="1"/>
    <col min="7683" max="7683" width="15.109375" style="223" customWidth="1"/>
    <col min="7684" max="7684" width="16.6640625" style="223" customWidth="1"/>
    <col min="7685" max="7685" width="15.109375" style="223" customWidth="1"/>
    <col min="7686" max="7687" width="13.5546875" style="223" bestFit="1" customWidth="1"/>
    <col min="7688" max="7688" width="8.6640625" style="223" bestFit="1" customWidth="1"/>
    <col min="7689" max="7935" width="7.109375" style="223"/>
    <col min="7936" max="7936" width="3.88671875" style="223" customWidth="1"/>
    <col min="7937" max="7937" width="60.88671875" style="223" customWidth="1"/>
    <col min="7938" max="7938" width="10.5546875" style="223" customWidth="1"/>
    <col min="7939" max="7939" width="15.109375" style="223" customWidth="1"/>
    <col min="7940" max="7940" width="16.6640625" style="223" customWidth="1"/>
    <col min="7941" max="7941" width="15.109375" style="223" customWidth="1"/>
    <col min="7942" max="7943" width="13.5546875" style="223" bestFit="1" customWidth="1"/>
    <col min="7944" max="7944" width="8.6640625" style="223" bestFit="1" customWidth="1"/>
    <col min="7945" max="8191" width="8.88671875" style="223"/>
    <col min="8192" max="8192" width="3.88671875" style="223" customWidth="1"/>
    <col min="8193" max="8193" width="60.88671875" style="223" customWidth="1"/>
    <col min="8194" max="8194" width="10.5546875" style="223" customWidth="1"/>
    <col min="8195" max="8195" width="15.109375" style="223" customWidth="1"/>
    <col min="8196" max="8196" width="16.6640625" style="223" customWidth="1"/>
    <col min="8197" max="8197" width="15.109375" style="223" customWidth="1"/>
    <col min="8198" max="8199" width="13.5546875" style="223" bestFit="1" customWidth="1"/>
    <col min="8200" max="8200" width="8.6640625" style="223" bestFit="1" customWidth="1"/>
    <col min="8201" max="8447" width="7.109375" style="223"/>
    <col min="8448" max="8448" width="3.88671875" style="223" customWidth="1"/>
    <col min="8449" max="8449" width="60.88671875" style="223" customWidth="1"/>
    <col min="8450" max="8450" width="10.5546875" style="223" customWidth="1"/>
    <col min="8451" max="8451" width="15.109375" style="223" customWidth="1"/>
    <col min="8452" max="8452" width="16.6640625" style="223" customWidth="1"/>
    <col min="8453" max="8453" width="15.109375" style="223" customWidth="1"/>
    <col min="8454" max="8455" width="13.5546875" style="223" bestFit="1" customWidth="1"/>
    <col min="8456" max="8456" width="8.6640625" style="223" bestFit="1" customWidth="1"/>
    <col min="8457" max="8703" width="7.109375" style="223"/>
    <col min="8704" max="8704" width="3.88671875" style="223" customWidth="1"/>
    <col min="8705" max="8705" width="60.88671875" style="223" customWidth="1"/>
    <col min="8706" max="8706" width="10.5546875" style="223" customWidth="1"/>
    <col min="8707" max="8707" width="15.109375" style="223" customWidth="1"/>
    <col min="8708" max="8708" width="16.6640625" style="223" customWidth="1"/>
    <col min="8709" max="8709" width="15.109375" style="223" customWidth="1"/>
    <col min="8710" max="8711" width="13.5546875" style="223" bestFit="1" customWidth="1"/>
    <col min="8712" max="8712" width="8.6640625" style="223" bestFit="1" customWidth="1"/>
    <col min="8713" max="8959" width="7.109375" style="223"/>
    <col min="8960" max="8960" width="3.88671875" style="223" customWidth="1"/>
    <col min="8961" max="8961" width="60.88671875" style="223" customWidth="1"/>
    <col min="8962" max="8962" width="10.5546875" style="223" customWidth="1"/>
    <col min="8963" max="8963" width="15.109375" style="223" customWidth="1"/>
    <col min="8964" max="8964" width="16.6640625" style="223" customWidth="1"/>
    <col min="8965" max="8965" width="15.109375" style="223" customWidth="1"/>
    <col min="8966" max="8967" width="13.5546875" style="223" bestFit="1" customWidth="1"/>
    <col min="8968" max="8968" width="8.6640625" style="223" bestFit="1" customWidth="1"/>
    <col min="8969" max="9215" width="8.88671875" style="223"/>
    <col min="9216" max="9216" width="3.88671875" style="223" customWidth="1"/>
    <col min="9217" max="9217" width="60.88671875" style="223" customWidth="1"/>
    <col min="9218" max="9218" width="10.5546875" style="223" customWidth="1"/>
    <col min="9219" max="9219" width="15.109375" style="223" customWidth="1"/>
    <col min="9220" max="9220" width="16.6640625" style="223" customWidth="1"/>
    <col min="9221" max="9221" width="15.109375" style="223" customWidth="1"/>
    <col min="9222" max="9223" width="13.5546875" style="223" bestFit="1" customWidth="1"/>
    <col min="9224" max="9224" width="8.6640625" style="223" bestFit="1" customWidth="1"/>
    <col min="9225" max="9471" width="7.109375" style="223"/>
    <col min="9472" max="9472" width="3.88671875" style="223" customWidth="1"/>
    <col min="9473" max="9473" width="60.88671875" style="223" customWidth="1"/>
    <col min="9474" max="9474" width="10.5546875" style="223" customWidth="1"/>
    <col min="9475" max="9475" width="15.109375" style="223" customWidth="1"/>
    <col min="9476" max="9476" width="16.6640625" style="223" customWidth="1"/>
    <col min="9477" max="9477" width="15.109375" style="223" customWidth="1"/>
    <col min="9478" max="9479" width="13.5546875" style="223" bestFit="1" customWidth="1"/>
    <col min="9480" max="9480" width="8.6640625" style="223" bestFit="1" customWidth="1"/>
    <col min="9481" max="9727" width="7.109375" style="223"/>
    <col min="9728" max="9728" width="3.88671875" style="223" customWidth="1"/>
    <col min="9729" max="9729" width="60.88671875" style="223" customWidth="1"/>
    <col min="9730" max="9730" width="10.5546875" style="223" customWidth="1"/>
    <col min="9731" max="9731" width="15.109375" style="223" customWidth="1"/>
    <col min="9732" max="9732" width="16.6640625" style="223" customWidth="1"/>
    <col min="9733" max="9733" width="15.109375" style="223" customWidth="1"/>
    <col min="9734" max="9735" width="13.5546875" style="223" bestFit="1" customWidth="1"/>
    <col min="9736" max="9736" width="8.6640625" style="223" bestFit="1" customWidth="1"/>
    <col min="9737" max="9983" width="7.109375" style="223"/>
    <col min="9984" max="9984" width="3.88671875" style="223" customWidth="1"/>
    <col min="9985" max="9985" width="60.88671875" style="223" customWidth="1"/>
    <col min="9986" max="9986" width="10.5546875" style="223" customWidth="1"/>
    <col min="9987" max="9987" width="15.109375" style="223" customWidth="1"/>
    <col min="9988" max="9988" width="16.6640625" style="223" customWidth="1"/>
    <col min="9989" max="9989" width="15.109375" style="223" customWidth="1"/>
    <col min="9990" max="9991" width="13.5546875" style="223" bestFit="1" customWidth="1"/>
    <col min="9992" max="9992" width="8.6640625" style="223" bestFit="1" customWidth="1"/>
    <col min="9993" max="10239" width="8.88671875" style="223"/>
    <col min="10240" max="10240" width="3.88671875" style="223" customWidth="1"/>
    <col min="10241" max="10241" width="60.88671875" style="223" customWidth="1"/>
    <col min="10242" max="10242" width="10.5546875" style="223" customWidth="1"/>
    <col min="10243" max="10243" width="15.109375" style="223" customWidth="1"/>
    <col min="10244" max="10244" width="16.6640625" style="223" customWidth="1"/>
    <col min="10245" max="10245" width="15.109375" style="223" customWidth="1"/>
    <col min="10246" max="10247" width="13.5546875" style="223" bestFit="1" customWidth="1"/>
    <col min="10248" max="10248" width="8.6640625" style="223" bestFit="1" customWidth="1"/>
    <col min="10249" max="10495" width="7.109375" style="223"/>
    <col min="10496" max="10496" width="3.88671875" style="223" customWidth="1"/>
    <col min="10497" max="10497" width="60.88671875" style="223" customWidth="1"/>
    <col min="10498" max="10498" width="10.5546875" style="223" customWidth="1"/>
    <col min="10499" max="10499" width="15.109375" style="223" customWidth="1"/>
    <col min="10500" max="10500" width="16.6640625" style="223" customWidth="1"/>
    <col min="10501" max="10501" width="15.109375" style="223" customWidth="1"/>
    <col min="10502" max="10503" width="13.5546875" style="223" bestFit="1" customWidth="1"/>
    <col min="10504" max="10504" width="8.6640625" style="223" bestFit="1" customWidth="1"/>
    <col min="10505" max="10751" width="7.109375" style="223"/>
    <col min="10752" max="10752" width="3.88671875" style="223" customWidth="1"/>
    <col min="10753" max="10753" width="60.88671875" style="223" customWidth="1"/>
    <col min="10754" max="10754" width="10.5546875" style="223" customWidth="1"/>
    <col min="10755" max="10755" width="15.109375" style="223" customWidth="1"/>
    <col min="10756" max="10756" width="16.6640625" style="223" customWidth="1"/>
    <col min="10757" max="10757" width="15.109375" style="223" customWidth="1"/>
    <col min="10758" max="10759" width="13.5546875" style="223" bestFit="1" customWidth="1"/>
    <col min="10760" max="10760" width="8.6640625" style="223" bestFit="1" customWidth="1"/>
    <col min="10761" max="11007" width="7.109375" style="223"/>
    <col min="11008" max="11008" width="3.88671875" style="223" customWidth="1"/>
    <col min="11009" max="11009" width="60.88671875" style="223" customWidth="1"/>
    <col min="11010" max="11010" width="10.5546875" style="223" customWidth="1"/>
    <col min="11011" max="11011" width="15.109375" style="223" customWidth="1"/>
    <col min="11012" max="11012" width="16.6640625" style="223" customWidth="1"/>
    <col min="11013" max="11013" width="15.109375" style="223" customWidth="1"/>
    <col min="11014" max="11015" width="13.5546875" style="223" bestFit="1" customWidth="1"/>
    <col min="11016" max="11016" width="8.6640625" style="223" bestFit="1" customWidth="1"/>
    <col min="11017" max="11263" width="8.88671875" style="223"/>
    <col min="11264" max="11264" width="3.88671875" style="223" customWidth="1"/>
    <col min="11265" max="11265" width="60.88671875" style="223" customWidth="1"/>
    <col min="11266" max="11266" width="10.5546875" style="223" customWidth="1"/>
    <col min="11267" max="11267" width="15.109375" style="223" customWidth="1"/>
    <col min="11268" max="11268" width="16.6640625" style="223" customWidth="1"/>
    <col min="11269" max="11269" width="15.109375" style="223" customWidth="1"/>
    <col min="11270" max="11271" width="13.5546875" style="223" bestFit="1" customWidth="1"/>
    <col min="11272" max="11272" width="8.6640625" style="223" bestFit="1" customWidth="1"/>
    <col min="11273" max="11519" width="7.109375" style="223"/>
    <col min="11520" max="11520" width="3.88671875" style="223" customWidth="1"/>
    <col min="11521" max="11521" width="60.88671875" style="223" customWidth="1"/>
    <col min="11522" max="11522" width="10.5546875" style="223" customWidth="1"/>
    <col min="11523" max="11523" width="15.109375" style="223" customWidth="1"/>
    <col min="11524" max="11524" width="16.6640625" style="223" customWidth="1"/>
    <col min="11525" max="11525" width="15.109375" style="223" customWidth="1"/>
    <col min="11526" max="11527" width="13.5546875" style="223" bestFit="1" customWidth="1"/>
    <col min="11528" max="11528" width="8.6640625" style="223" bestFit="1" customWidth="1"/>
    <col min="11529" max="11775" width="7.109375" style="223"/>
    <col min="11776" max="11776" width="3.88671875" style="223" customWidth="1"/>
    <col min="11777" max="11777" width="60.88671875" style="223" customWidth="1"/>
    <col min="11778" max="11778" width="10.5546875" style="223" customWidth="1"/>
    <col min="11779" max="11779" width="15.109375" style="223" customWidth="1"/>
    <col min="11780" max="11780" width="16.6640625" style="223" customWidth="1"/>
    <col min="11781" max="11781" width="15.109375" style="223" customWidth="1"/>
    <col min="11782" max="11783" width="13.5546875" style="223" bestFit="1" customWidth="1"/>
    <col min="11784" max="11784" width="8.6640625" style="223" bestFit="1" customWidth="1"/>
    <col min="11785" max="12031" width="7.109375" style="223"/>
    <col min="12032" max="12032" width="3.88671875" style="223" customWidth="1"/>
    <col min="12033" max="12033" width="60.88671875" style="223" customWidth="1"/>
    <col min="12034" max="12034" width="10.5546875" style="223" customWidth="1"/>
    <col min="12035" max="12035" width="15.109375" style="223" customWidth="1"/>
    <col min="12036" max="12036" width="16.6640625" style="223" customWidth="1"/>
    <col min="12037" max="12037" width="15.109375" style="223" customWidth="1"/>
    <col min="12038" max="12039" width="13.5546875" style="223" bestFit="1" customWidth="1"/>
    <col min="12040" max="12040" width="8.6640625" style="223" bestFit="1" customWidth="1"/>
    <col min="12041" max="12287" width="8.88671875" style="223"/>
    <col min="12288" max="12288" width="3.88671875" style="223" customWidth="1"/>
    <col min="12289" max="12289" width="60.88671875" style="223" customWidth="1"/>
    <col min="12290" max="12290" width="10.5546875" style="223" customWidth="1"/>
    <col min="12291" max="12291" width="15.109375" style="223" customWidth="1"/>
    <col min="12292" max="12292" width="16.6640625" style="223" customWidth="1"/>
    <col min="12293" max="12293" width="15.109375" style="223" customWidth="1"/>
    <col min="12294" max="12295" width="13.5546875" style="223" bestFit="1" customWidth="1"/>
    <col min="12296" max="12296" width="8.6640625" style="223" bestFit="1" customWidth="1"/>
    <col min="12297" max="12543" width="7.109375" style="223"/>
    <col min="12544" max="12544" width="3.88671875" style="223" customWidth="1"/>
    <col min="12545" max="12545" width="60.88671875" style="223" customWidth="1"/>
    <col min="12546" max="12546" width="10.5546875" style="223" customWidth="1"/>
    <col min="12547" max="12547" width="15.109375" style="223" customWidth="1"/>
    <col min="12548" max="12548" width="16.6640625" style="223" customWidth="1"/>
    <col min="12549" max="12549" width="15.109375" style="223" customWidth="1"/>
    <col min="12550" max="12551" width="13.5546875" style="223" bestFit="1" customWidth="1"/>
    <col min="12552" max="12552" width="8.6640625" style="223" bestFit="1" customWidth="1"/>
    <col min="12553" max="12799" width="7.109375" style="223"/>
    <col min="12800" max="12800" width="3.88671875" style="223" customWidth="1"/>
    <col min="12801" max="12801" width="60.88671875" style="223" customWidth="1"/>
    <col min="12802" max="12802" width="10.5546875" style="223" customWidth="1"/>
    <col min="12803" max="12803" width="15.109375" style="223" customWidth="1"/>
    <col min="12804" max="12804" width="16.6640625" style="223" customWidth="1"/>
    <col min="12805" max="12805" width="15.109375" style="223" customWidth="1"/>
    <col min="12806" max="12807" width="13.5546875" style="223" bestFit="1" customWidth="1"/>
    <col min="12808" max="12808" width="8.6640625" style="223" bestFit="1" customWidth="1"/>
    <col min="12809" max="13055" width="7.109375" style="223"/>
    <col min="13056" max="13056" width="3.88671875" style="223" customWidth="1"/>
    <col min="13057" max="13057" width="60.88671875" style="223" customWidth="1"/>
    <col min="13058" max="13058" width="10.5546875" style="223" customWidth="1"/>
    <col min="13059" max="13059" width="15.109375" style="223" customWidth="1"/>
    <col min="13060" max="13060" width="16.6640625" style="223" customWidth="1"/>
    <col min="13061" max="13061" width="15.109375" style="223" customWidth="1"/>
    <col min="13062" max="13063" width="13.5546875" style="223" bestFit="1" customWidth="1"/>
    <col min="13064" max="13064" width="8.6640625" style="223" bestFit="1" customWidth="1"/>
    <col min="13065" max="13311" width="8.88671875" style="223"/>
    <col min="13312" max="13312" width="3.88671875" style="223" customWidth="1"/>
    <col min="13313" max="13313" width="60.88671875" style="223" customWidth="1"/>
    <col min="13314" max="13314" width="10.5546875" style="223" customWidth="1"/>
    <col min="13315" max="13315" width="15.109375" style="223" customWidth="1"/>
    <col min="13316" max="13316" width="16.6640625" style="223" customWidth="1"/>
    <col min="13317" max="13317" width="15.109375" style="223" customWidth="1"/>
    <col min="13318" max="13319" width="13.5546875" style="223" bestFit="1" customWidth="1"/>
    <col min="13320" max="13320" width="8.6640625" style="223" bestFit="1" customWidth="1"/>
    <col min="13321" max="13567" width="7.109375" style="223"/>
    <col min="13568" max="13568" width="3.88671875" style="223" customWidth="1"/>
    <col min="13569" max="13569" width="60.88671875" style="223" customWidth="1"/>
    <col min="13570" max="13570" width="10.5546875" style="223" customWidth="1"/>
    <col min="13571" max="13571" width="15.109375" style="223" customWidth="1"/>
    <col min="13572" max="13572" width="16.6640625" style="223" customWidth="1"/>
    <col min="13573" max="13573" width="15.109375" style="223" customWidth="1"/>
    <col min="13574" max="13575" width="13.5546875" style="223" bestFit="1" customWidth="1"/>
    <col min="13576" max="13576" width="8.6640625" style="223" bestFit="1" customWidth="1"/>
    <col min="13577" max="13823" width="7.109375" style="223"/>
    <col min="13824" max="13824" width="3.88671875" style="223" customWidth="1"/>
    <col min="13825" max="13825" width="60.88671875" style="223" customWidth="1"/>
    <col min="13826" max="13826" width="10.5546875" style="223" customWidth="1"/>
    <col min="13827" max="13827" width="15.109375" style="223" customWidth="1"/>
    <col min="13828" max="13828" width="16.6640625" style="223" customWidth="1"/>
    <col min="13829" max="13829" width="15.109375" style="223" customWidth="1"/>
    <col min="13830" max="13831" width="13.5546875" style="223" bestFit="1" customWidth="1"/>
    <col min="13832" max="13832" width="8.6640625" style="223" bestFit="1" customWidth="1"/>
    <col min="13833" max="14079" width="7.109375" style="223"/>
    <col min="14080" max="14080" width="3.88671875" style="223" customWidth="1"/>
    <col min="14081" max="14081" width="60.88671875" style="223" customWidth="1"/>
    <col min="14082" max="14082" width="10.5546875" style="223" customWidth="1"/>
    <col min="14083" max="14083" width="15.109375" style="223" customWidth="1"/>
    <col min="14084" max="14084" width="16.6640625" style="223" customWidth="1"/>
    <col min="14085" max="14085" width="15.109375" style="223" customWidth="1"/>
    <col min="14086" max="14087" width="13.5546875" style="223" bestFit="1" customWidth="1"/>
    <col min="14088" max="14088" width="8.6640625" style="223" bestFit="1" customWidth="1"/>
    <col min="14089" max="14335" width="8.88671875" style="223"/>
    <col min="14336" max="14336" width="3.88671875" style="223" customWidth="1"/>
    <col min="14337" max="14337" width="60.88671875" style="223" customWidth="1"/>
    <col min="14338" max="14338" width="10.5546875" style="223" customWidth="1"/>
    <col min="14339" max="14339" width="15.109375" style="223" customWidth="1"/>
    <col min="14340" max="14340" width="16.6640625" style="223" customWidth="1"/>
    <col min="14341" max="14341" width="15.109375" style="223" customWidth="1"/>
    <col min="14342" max="14343" width="13.5546875" style="223" bestFit="1" customWidth="1"/>
    <col min="14344" max="14344" width="8.6640625" style="223" bestFit="1" customWidth="1"/>
    <col min="14345" max="14591" width="7.109375" style="223"/>
    <col min="14592" max="14592" width="3.88671875" style="223" customWidth="1"/>
    <col min="14593" max="14593" width="60.88671875" style="223" customWidth="1"/>
    <col min="14594" max="14594" width="10.5546875" style="223" customWidth="1"/>
    <col min="14595" max="14595" width="15.109375" style="223" customWidth="1"/>
    <col min="14596" max="14596" width="16.6640625" style="223" customWidth="1"/>
    <col min="14597" max="14597" width="15.109375" style="223" customWidth="1"/>
    <col min="14598" max="14599" width="13.5546875" style="223" bestFit="1" customWidth="1"/>
    <col min="14600" max="14600" width="8.6640625" style="223" bestFit="1" customWidth="1"/>
    <col min="14601" max="14847" width="7.109375" style="223"/>
    <col min="14848" max="14848" width="3.88671875" style="223" customWidth="1"/>
    <col min="14849" max="14849" width="60.88671875" style="223" customWidth="1"/>
    <col min="14850" max="14850" width="10.5546875" style="223" customWidth="1"/>
    <col min="14851" max="14851" width="15.109375" style="223" customWidth="1"/>
    <col min="14852" max="14852" width="16.6640625" style="223" customWidth="1"/>
    <col min="14853" max="14853" width="15.109375" style="223" customWidth="1"/>
    <col min="14854" max="14855" width="13.5546875" style="223" bestFit="1" customWidth="1"/>
    <col min="14856" max="14856" width="8.6640625" style="223" bestFit="1" customWidth="1"/>
    <col min="14857" max="15103" width="7.109375" style="223"/>
    <col min="15104" max="15104" width="3.88671875" style="223" customWidth="1"/>
    <col min="15105" max="15105" width="60.88671875" style="223" customWidth="1"/>
    <col min="15106" max="15106" width="10.5546875" style="223" customWidth="1"/>
    <col min="15107" max="15107" width="15.109375" style="223" customWidth="1"/>
    <col min="15108" max="15108" width="16.6640625" style="223" customWidth="1"/>
    <col min="15109" max="15109" width="15.109375" style="223" customWidth="1"/>
    <col min="15110" max="15111" width="13.5546875" style="223" bestFit="1" customWidth="1"/>
    <col min="15112" max="15112" width="8.6640625" style="223" bestFit="1" customWidth="1"/>
    <col min="15113" max="15359" width="8.88671875" style="223"/>
    <col min="15360" max="15360" width="3.88671875" style="223" customWidth="1"/>
    <col min="15361" max="15361" width="60.88671875" style="223" customWidth="1"/>
    <col min="15362" max="15362" width="10.5546875" style="223" customWidth="1"/>
    <col min="15363" max="15363" width="15.109375" style="223" customWidth="1"/>
    <col min="15364" max="15364" width="16.6640625" style="223" customWidth="1"/>
    <col min="15365" max="15365" width="15.109375" style="223" customWidth="1"/>
    <col min="15366" max="15367" width="13.5546875" style="223" bestFit="1" customWidth="1"/>
    <col min="15368" max="15368" width="8.6640625" style="223" bestFit="1" customWidth="1"/>
    <col min="15369" max="15615" width="7.109375" style="223"/>
    <col min="15616" max="15616" width="3.88671875" style="223" customWidth="1"/>
    <col min="15617" max="15617" width="60.88671875" style="223" customWidth="1"/>
    <col min="15618" max="15618" width="10.5546875" style="223" customWidth="1"/>
    <col min="15619" max="15619" width="15.109375" style="223" customWidth="1"/>
    <col min="15620" max="15620" width="16.6640625" style="223" customWidth="1"/>
    <col min="15621" max="15621" width="15.109375" style="223" customWidth="1"/>
    <col min="15622" max="15623" width="13.5546875" style="223" bestFit="1" customWidth="1"/>
    <col min="15624" max="15624" width="8.6640625" style="223" bestFit="1" customWidth="1"/>
    <col min="15625" max="15871" width="7.109375" style="223"/>
    <col min="15872" max="15872" width="3.88671875" style="223" customWidth="1"/>
    <col min="15873" max="15873" width="60.88671875" style="223" customWidth="1"/>
    <col min="15874" max="15874" width="10.5546875" style="223" customWidth="1"/>
    <col min="15875" max="15875" width="15.109375" style="223" customWidth="1"/>
    <col min="15876" max="15876" width="16.6640625" style="223" customWidth="1"/>
    <col min="15877" max="15877" width="15.109375" style="223" customWidth="1"/>
    <col min="15878" max="15879" width="13.5546875" style="223" bestFit="1" customWidth="1"/>
    <col min="15880" max="15880" width="8.6640625" style="223" bestFit="1" customWidth="1"/>
    <col min="15881" max="16127" width="7.109375" style="223"/>
    <col min="16128" max="16128" width="3.88671875" style="223" customWidth="1"/>
    <col min="16129" max="16129" width="60.88671875" style="223" customWidth="1"/>
    <col min="16130" max="16130" width="10.5546875" style="223" customWidth="1"/>
    <col min="16131" max="16131" width="15.109375" style="223" customWidth="1"/>
    <col min="16132" max="16132" width="16.6640625" style="223" customWidth="1"/>
    <col min="16133" max="16133" width="15.109375" style="223" customWidth="1"/>
    <col min="16134" max="16135" width="13.5546875" style="223" bestFit="1" customWidth="1"/>
    <col min="16136" max="16136" width="8.6640625" style="223" bestFit="1" customWidth="1"/>
    <col min="16137" max="16384" width="8.88671875" style="223"/>
  </cols>
  <sheetData>
    <row r="1" spans="1:22">
      <c r="A1" s="438" t="s">
        <v>510</v>
      </c>
      <c r="B1" s="438"/>
      <c r="C1" s="438"/>
      <c r="D1" s="438"/>
      <c r="E1" s="438"/>
      <c r="F1" s="438"/>
      <c r="G1" s="438"/>
      <c r="H1" s="438"/>
      <c r="I1" s="438"/>
      <c r="J1" s="221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</row>
    <row r="2" spans="1:22">
      <c r="A2" s="224" t="s">
        <v>296</v>
      </c>
      <c r="B2" s="225"/>
      <c r="C2" s="226" t="s">
        <v>14</v>
      </c>
      <c r="D2" s="226" t="s">
        <v>14</v>
      </c>
      <c r="E2" s="226" t="s">
        <v>14</v>
      </c>
      <c r="F2" s="227" t="s">
        <v>15</v>
      </c>
      <c r="G2" s="226" t="s">
        <v>272</v>
      </c>
      <c r="H2" s="228" t="s">
        <v>285</v>
      </c>
      <c r="I2" s="226" t="s">
        <v>318</v>
      </c>
      <c r="J2" s="229" t="s">
        <v>511</v>
      </c>
      <c r="K2" s="230"/>
      <c r="L2" s="230"/>
      <c r="M2" s="222"/>
      <c r="N2" s="222"/>
      <c r="O2" s="222"/>
      <c r="P2" s="222"/>
      <c r="Q2" s="222"/>
      <c r="R2" s="222"/>
      <c r="S2" s="222"/>
      <c r="T2" s="222"/>
      <c r="U2" s="222"/>
      <c r="V2" s="222"/>
    </row>
    <row r="3" spans="1:22">
      <c r="A3" s="231" t="s">
        <v>512</v>
      </c>
      <c r="B3" s="232"/>
      <c r="C3" s="232"/>
      <c r="D3" s="233"/>
      <c r="E3" s="234">
        <v>0</v>
      </c>
      <c r="F3" s="235"/>
      <c r="G3" s="233"/>
      <c r="H3" s="233"/>
      <c r="I3" s="233"/>
      <c r="J3" s="236"/>
      <c r="K3" s="230"/>
      <c r="L3" s="230"/>
      <c r="M3" s="222"/>
      <c r="N3" s="222"/>
      <c r="O3" s="222"/>
      <c r="P3" s="222"/>
      <c r="Q3" s="222"/>
      <c r="R3" s="222"/>
      <c r="S3" s="222"/>
      <c r="T3" s="222"/>
      <c r="U3" s="222"/>
      <c r="V3" s="222"/>
    </row>
    <row r="4" spans="1:22">
      <c r="A4" s="237" t="s">
        <v>513</v>
      </c>
      <c r="B4" s="238" t="s">
        <v>565</v>
      </c>
      <c r="C4" s="239"/>
      <c r="D4" s="236"/>
      <c r="E4" s="236"/>
      <c r="F4" s="240">
        <v>10000</v>
      </c>
      <c r="G4" s="236"/>
      <c r="H4" s="236"/>
      <c r="I4" s="241"/>
      <c r="J4" s="236"/>
      <c r="K4" s="230"/>
      <c r="L4" s="230"/>
      <c r="M4" s="222"/>
      <c r="N4" s="222"/>
      <c r="O4" s="222"/>
      <c r="P4" s="222"/>
      <c r="Q4" s="222"/>
      <c r="R4" s="222"/>
      <c r="S4" s="222"/>
      <c r="T4" s="222"/>
      <c r="U4" s="222"/>
      <c r="V4" s="222"/>
    </row>
    <row r="5" spans="1:22">
      <c r="A5" s="237" t="s">
        <v>514</v>
      </c>
      <c r="B5" s="238" t="s">
        <v>565</v>
      </c>
      <c r="C5" s="239"/>
      <c r="D5" s="236"/>
      <c r="E5" s="236"/>
      <c r="F5" s="240">
        <v>0</v>
      </c>
      <c r="G5" s="242">
        <v>300000</v>
      </c>
      <c r="H5" s="236"/>
      <c r="I5" s="241"/>
      <c r="J5" s="236"/>
      <c r="K5" s="230"/>
      <c r="L5" s="230"/>
      <c r="M5" s="222"/>
      <c r="N5" s="222"/>
      <c r="O5" s="222"/>
      <c r="P5" s="222"/>
      <c r="Q5" s="222"/>
      <c r="R5" s="222"/>
      <c r="S5" s="222"/>
      <c r="T5" s="222"/>
      <c r="U5" s="222"/>
      <c r="V5" s="222"/>
    </row>
    <row r="6" spans="1:22">
      <c r="A6" s="237" t="s">
        <v>557</v>
      </c>
      <c r="B6" s="238" t="s">
        <v>565</v>
      </c>
      <c r="C6" s="239"/>
      <c r="D6" s="236"/>
      <c r="E6" s="236"/>
      <c r="F6" s="240">
        <v>0</v>
      </c>
      <c r="G6" s="236"/>
      <c r="H6" s="236"/>
      <c r="I6" s="241"/>
      <c r="J6" s="236"/>
      <c r="K6" s="230"/>
      <c r="L6" s="230"/>
      <c r="M6" s="222"/>
      <c r="N6" s="222"/>
      <c r="O6" s="222"/>
      <c r="P6" s="222"/>
      <c r="Q6" s="222"/>
      <c r="R6" s="222"/>
      <c r="S6" s="222"/>
      <c r="T6" s="222"/>
      <c r="U6" s="222"/>
      <c r="V6" s="222"/>
    </row>
    <row r="7" spans="1:22">
      <c r="A7" s="237" t="s">
        <v>515</v>
      </c>
      <c r="B7" s="238" t="s">
        <v>565</v>
      </c>
      <c r="C7" s="239"/>
      <c r="D7" s="236"/>
      <c r="E7" s="236"/>
      <c r="F7" s="240">
        <v>0</v>
      </c>
      <c r="G7" s="242">
        <v>250000</v>
      </c>
      <c r="H7" s="236"/>
      <c r="I7" s="241"/>
      <c r="J7" s="236"/>
      <c r="K7" s="230"/>
      <c r="L7" s="230"/>
      <c r="M7" s="222"/>
      <c r="N7" s="222"/>
      <c r="O7" s="222"/>
      <c r="P7" s="222"/>
      <c r="Q7" s="222"/>
      <c r="R7" s="222"/>
      <c r="S7" s="222"/>
      <c r="T7" s="222"/>
      <c r="U7" s="222"/>
      <c r="V7" s="222"/>
    </row>
    <row r="8" spans="1:22">
      <c r="A8" s="237" t="s">
        <v>558</v>
      </c>
      <c r="B8" s="238" t="s">
        <v>565</v>
      </c>
      <c r="C8" s="239"/>
      <c r="D8" s="236"/>
      <c r="E8" s="236"/>
      <c r="F8" s="240">
        <v>0</v>
      </c>
      <c r="G8" s="236">
        <v>200000</v>
      </c>
      <c r="H8" s="236">
        <v>200000</v>
      </c>
      <c r="I8" s="241"/>
      <c r="J8" s="236"/>
      <c r="K8" s="230"/>
      <c r="L8" s="230"/>
      <c r="M8" s="222"/>
      <c r="N8" s="222"/>
      <c r="O8" s="222"/>
      <c r="P8" s="222"/>
      <c r="Q8" s="222"/>
      <c r="R8" s="222"/>
      <c r="S8" s="222"/>
      <c r="T8" s="222"/>
      <c r="U8" s="222"/>
      <c r="V8" s="222"/>
    </row>
    <row r="9" spans="1:22">
      <c r="A9" s="237" t="s">
        <v>533</v>
      </c>
      <c r="B9" s="238" t="s">
        <v>565</v>
      </c>
      <c r="C9" s="239"/>
      <c r="D9" s="229"/>
      <c r="E9" s="229"/>
      <c r="F9" s="240">
        <v>130000</v>
      </c>
      <c r="H9" s="229"/>
      <c r="I9" s="241"/>
      <c r="J9" s="236"/>
      <c r="K9" s="230"/>
      <c r="L9" s="230"/>
      <c r="M9" s="222"/>
      <c r="N9" s="222"/>
      <c r="O9" s="222"/>
      <c r="P9" s="222"/>
      <c r="Q9" s="222"/>
      <c r="R9" s="222"/>
      <c r="S9" s="222"/>
      <c r="T9" s="222"/>
      <c r="U9" s="222"/>
      <c r="V9" s="222"/>
    </row>
    <row r="10" spans="1:22">
      <c r="A10" s="237" t="s">
        <v>534</v>
      </c>
      <c r="B10" s="238" t="s">
        <v>565</v>
      </c>
      <c r="C10" s="238"/>
      <c r="D10" s="236"/>
      <c r="E10" s="236"/>
      <c r="F10" s="240">
        <v>0</v>
      </c>
      <c r="G10" s="236"/>
      <c r="H10" s="236"/>
      <c r="I10" s="236"/>
      <c r="J10" s="236"/>
      <c r="K10" s="230"/>
      <c r="L10" s="230"/>
      <c r="M10" s="222"/>
      <c r="N10" s="222"/>
      <c r="O10" s="222"/>
      <c r="P10" s="222"/>
      <c r="Q10" s="222"/>
      <c r="R10" s="222"/>
      <c r="S10" s="222"/>
      <c r="T10" s="222"/>
      <c r="U10" s="222"/>
      <c r="V10" s="222"/>
    </row>
    <row r="11" spans="1:22">
      <c r="A11" s="237" t="s">
        <v>535</v>
      </c>
      <c r="B11" s="238" t="s">
        <v>565</v>
      </c>
      <c r="C11" s="238"/>
      <c r="D11" s="236"/>
      <c r="E11" s="236"/>
      <c r="F11" s="240">
        <v>0</v>
      </c>
      <c r="G11" s="242">
        <v>100000</v>
      </c>
      <c r="H11" s="236"/>
      <c r="I11" s="236"/>
      <c r="J11" s="236"/>
      <c r="K11" s="230"/>
      <c r="L11" s="230"/>
      <c r="M11" s="222"/>
      <c r="N11" s="222"/>
      <c r="O11" s="222"/>
      <c r="P11" s="222"/>
      <c r="Q11" s="222"/>
      <c r="R11" s="222"/>
      <c r="S11" s="222"/>
      <c r="T11" s="222"/>
      <c r="U11" s="222"/>
      <c r="V11" s="222"/>
    </row>
    <row r="12" spans="1:22">
      <c r="A12" s="237" t="s">
        <v>536</v>
      </c>
      <c r="B12" s="238" t="s">
        <v>565</v>
      </c>
      <c r="C12" s="238"/>
      <c r="D12" s="236"/>
      <c r="E12" s="236"/>
      <c r="F12" s="240">
        <v>0</v>
      </c>
      <c r="G12" s="242">
        <v>100000</v>
      </c>
      <c r="H12" s="236"/>
      <c r="I12" s="236"/>
      <c r="J12" s="236"/>
      <c r="K12" s="230"/>
      <c r="L12" s="230"/>
      <c r="M12" s="222"/>
      <c r="N12" s="222"/>
      <c r="O12" s="222"/>
      <c r="P12" s="222"/>
      <c r="Q12" s="222"/>
      <c r="R12" s="222"/>
      <c r="S12" s="222"/>
      <c r="T12" s="222"/>
      <c r="U12" s="222"/>
      <c r="V12" s="222"/>
    </row>
    <row r="13" spans="1:22">
      <c r="A13" s="221"/>
      <c r="B13" s="243"/>
      <c r="C13" s="244"/>
      <c r="D13" s="245"/>
      <c r="E13" s="245"/>
      <c r="F13" s="246">
        <f>SUM(F4:F12)</f>
        <v>140000</v>
      </c>
      <c r="G13" s="245"/>
      <c r="H13" s="245"/>
      <c r="I13" s="245"/>
      <c r="J13" s="245"/>
      <c r="K13" s="230"/>
      <c r="L13" s="230"/>
      <c r="M13" s="222"/>
      <c r="N13" s="222"/>
      <c r="O13" s="222"/>
      <c r="P13" s="222"/>
      <c r="Q13" s="222"/>
      <c r="R13" s="222"/>
      <c r="S13" s="222"/>
      <c r="T13" s="222"/>
      <c r="U13" s="222"/>
      <c r="V13" s="222"/>
    </row>
    <row r="14" spans="1:22">
      <c r="A14" s="247"/>
      <c r="B14" s="243"/>
      <c r="C14" s="221"/>
      <c r="D14" s="221"/>
      <c r="E14" s="221"/>
      <c r="F14" s="248"/>
      <c r="G14" s="221"/>
      <c r="H14" s="221"/>
      <c r="I14" s="221"/>
      <c r="J14" s="221"/>
      <c r="K14" s="230"/>
      <c r="L14" s="230"/>
      <c r="M14" s="222"/>
      <c r="N14" s="222"/>
      <c r="O14" s="222"/>
      <c r="P14" s="222"/>
      <c r="Q14" s="222"/>
      <c r="R14" s="222"/>
      <c r="S14" s="222"/>
      <c r="T14" s="222"/>
      <c r="U14" s="222"/>
      <c r="V14" s="222"/>
    </row>
    <row r="15" spans="1:22" s="255" customFormat="1">
      <c r="A15" s="247"/>
      <c r="B15" s="243"/>
      <c r="C15" s="249"/>
      <c r="D15" s="250"/>
      <c r="E15" s="250"/>
      <c r="F15" s="251"/>
      <c r="G15" s="250"/>
      <c r="H15" s="250"/>
      <c r="I15" s="252"/>
      <c r="J15" s="234"/>
      <c r="K15" s="253"/>
      <c r="L15" s="253"/>
      <c r="M15" s="254"/>
      <c r="N15" s="254"/>
      <c r="O15" s="254"/>
      <c r="P15" s="254"/>
      <c r="Q15" s="254"/>
      <c r="R15" s="254"/>
      <c r="S15" s="254"/>
      <c r="T15" s="254"/>
      <c r="U15" s="254"/>
      <c r="V15" s="254"/>
    </row>
    <row r="16" spans="1:22">
      <c r="A16" s="256"/>
      <c r="B16" s="247"/>
      <c r="C16" s="221"/>
      <c r="D16" s="221"/>
      <c r="E16" s="221"/>
      <c r="F16" s="248"/>
      <c r="G16" s="221"/>
      <c r="H16" s="221"/>
      <c r="I16" s="221"/>
      <c r="J16" s="221"/>
      <c r="K16" s="230"/>
      <c r="L16" s="230"/>
      <c r="M16" s="222"/>
      <c r="N16" s="222"/>
      <c r="O16" s="222"/>
      <c r="P16" s="222"/>
      <c r="Q16" s="222"/>
      <c r="R16" s="222"/>
      <c r="S16" s="222"/>
      <c r="T16" s="222"/>
      <c r="U16" s="222"/>
      <c r="V16" s="222"/>
    </row>
    <row r="17" spans="1:22">
      <c r="A17" s="257" t="s">
        <v>280</v>
      </c>
      <c r="B17" s="238"/>
      <c r="C17" s="226" t="s">
        <v>14</v>
      </c>
      <c r="D17" s="226" t="s">
        <v>14</v>
      </c>
      <c r="E17" s="226" t="s">
        <v>14</v>
      </c>
      <c r="F17" s="227" t="s">
        <v>15</v>
      </c>
      <c r="G17" s="226" t="s">
        <v>272</v>
      </c>
      <c r="H17" s="226" t="s">
        <v>285</v>
      </c>
      <c r="I17" s="226" t="s">
        <v>318</v>
      </c>
      <c r="J17" s="229" t="s">
        <v>511</v>
      </c>
      <c r="K17" s="230"/>
      <c r="L17" s="230"/>
      <c r="M17" s="222"/>
      <c r="N17" s="222"/>
      <c r="O17" s="222"/>
      <c r="P17" s="222"/>
      <c r="Q17" s="222"/>
      <c r="R17" s="222"/>
      <c r="S17" s="222"/>
      <c r="T17" s="222"/>
      <c r="U17" s="222"/>
      <c r="V17" s="222"/>
    </row>
    <row r="18" spans="1:22">
      <c r="A18" s="258" t="s">
        <v>297</v>
      </c>
      <c r="B18" s="238" t="s">
        <v>565</v>
      </c>
      <c r="C18" s="259"/>
      <c r="D18" s="260"/>
      <c r="E18" s="260">
        <v>100000</v>
      </c>
      <c r="F18" s="261">
        <v>0</v>
      </c>
      <c r="G18" s="260">
        <v>100000</v>
      </c>
      <c r="H18" s="260">
        <v>100000</v>
      </c>
      <c r="I18" s="262">
        <v>100000</v>
      </c>
      <c r="J18" s="242">
        <v>100000</v>
      </c>
      <c r="K18" s="230"/>
      <c r="L18" s="230"/>
      <c r="M18" s="222"/>
      <c r="N18" s="222"/>
      <c r="O18" s="222"/>
      <c r="P18" s="222"/>
      <c r="Q18" s="222"/>
      <c r="R18" s="222"/>
      <c r="S18" s="222"/>
      <c r="T18" s="222"/>
      <c r="U18" s="222"/>
      <c r="V18" s="222"/>
    </row>
    <row r="19" spans="1:22">
      <c r="A19" s="258" t="s">
        <v>537</v>
      </c>
      <c r="B19" s="238" t="s">
        <v>565</v>
      </c>
      <c r="C19" s="259">
        <v>28973.58</v>
      </c>
      <c r="D19" s="260">
        <v>100000</v>
      </c>
      <c r="E19" s="260">
        <v>100000</v>
      </c>
      <c r="F19" s="261">
        <v>0</v>
      </c>
      <c r="G19" s="260">
        <v>250000</v>
      </c>
      <c r="H19" s="260"/>
      <c r="I19" s="262"/>
      <c r="J19" s="242"/>
      <c r="K19" s="230"/>
      <c r="L19" s="230"/>
      <c r="M19" s="222"/>
      <c r="N19" s="222"/>
      <c r="O19" s="222"/>
      <c r="P19" s="222"/>
      <c r="Q19" s="222"/>
      <c r="R19" s="222"/>
      <c r="S19" s="222"/>
      <c r="T19" s="222"/>
      <c r="U19" s="222"/>
      <c r="V19" s="222"/>
    </row>
    <row r="20" spans="1:22" ht="31.5">
      <c r="A20" s="247"/>
      <c r="B20" s="243"/>
      <c r="C20" s="263">
        <f t="shared" ref="C20:I20" si="0">SUM(C18:C19)</f>
        <v>28973.58</v>
      </c>
      <c r="D20" s="264">
        <f t="shared" si="0"/>
        <v>100000</v>
      </c>
      <c r="E20" s="264">
        <f t="shared" si="0"/>
        <v>200000</v>
      </c>
      <c r="F20" s="265">
        <f t="shared" si="0"/>
        <v>0</v>
      </c>
      <c r="G20" s="264">
        <f t="shared" si="0"/>
        <v>350000</v>
      </c>
      <c r="H20" s="264">
        <f t="shared" si="0"/>
        <v>100000</v>
      </c>
      <c r="I20" s="266">
        <f t="shared" si="0"/>
        <v>100000</v>
      </c>
      <c r="J20" s="267"/>
      <c r="K20" s="230"/>
      <c r="L20" s="230"/>
      <c r="M20" s="222"/>
      <c r="N20" s="222"/>
      <c r="O20" s="222"/>
      <c r="P20" s="222"/>
      <c r="Q20" s="222"/>
      <c r="R20" s="222"/>
      <c r="S20" s="222"/>
      <c r="T20" s="222"/>
      <c r="U20" s="222"/>
      <c r="V20" s="222"/>
    </row>
    <row r="21" spans="1:22">
      <c r="A21" s="221"/>
      <c r="B21" s="243"/>
      <c r="C21" s="243"/>
      <c r="D21" s="268"/>
      <c r="E21" s="268"/>
      <c r="F21" s="269"/>
      <c r="G21" s="268"/>
      <c r="H21" s="268"/>
      <c r="I21" s="270"/>
      <c r="J21" s="270"/>
      <c r="K21" s="230"/>
      <c r="L21" s="230"/>
      <c r="M21" s="222"/>
      <c r="N21" s="222"/>
      <c r="O21" s="222"/>
      <c r="P21" s="222"/>
      <c r="Q21" s="222"/>
      <c r="R21" s="222"/>
      <c r="S21" s="222"/>
      <c r="T21" s="222"/>
      <c r="U21" s="222"/>
      <c r="V21" s="222"/>
    </row>
    <row r="22" spans="1:22">
      <c r="A22" s="247"/>
      <c r="B22" s="221"/>
      <c r="C22" s="221"/>
      <c r="D22" s="221"/>
      <c r="E22" s="221"/>
      <c r="F22" s="248"/>
      <c r="G22" s="221"/>
      <c r="H22" s="221"/>
      <c r="I22" s="221"/>
      <c r="J22" s="221"/>
      <c r="K22" s="230"/>
      <c r="L22" s="230"/>
      <c r="M22" s="222"/>
      <c r="N22" s="222"/>
      <c r="O22" s="222"/>
      <c r="P22" s="222"/>
      <c r="Q22" s="222"/>
      <c r="R22" s="222"/>
      <c r="S22" s="222"/>
      <c r="T22" s="222"/>
      <c r="U22" s="222"/>
      <c r="V22" s="222"/>
    </row>
    <row r="23" spans="1:22">
      <c r="A23" s="257" t="s">
        <v>298</v>
      </c>
      <c r="B23" s="271"/>
      <c r="C23" s="272" t="s">
        <v>14</v>
      </c>
      <c r="D23" s="272" t="s">
        <v>14</v>
      </c>
      <c r="E23" s="273" t="s">
        <v>14</v>
      </c>
      <c r="F23" s="227" t="s">
        <v>15</v>
      </c>
      <c r="G23" s="274" t="s">
        <v>272</v>
      </c>
      <c r="H23" s="273" t="s">
        <v>285</v>
      </c>
      <c r="I23" s="226" t="s">
        <v>318</v>
      </c>
      <c r="J23" s="229" t="s">
        <v>511</v>
      </c>
      <c r="K23" s="230"/>
      <c r="L23" s="230"/>
      <c r="M23" s="222"/>
      <c r="N23" s="222"/>
      <c r="O23" s="222"/>
      <c r="P23" s="222"/>
      <c r="Q23" s="222"/>
      <c r="R23" s="222"/>
      <c r="S23" s="222"/>
      <c r="T23" s="222"/>
      <c r="U23" s="222"/>
      <c r="V23" s="222"/>
    </row>
    <row r="24" spans="1:22">
      <c r="A24" s="258" t="s">
        <v>299</v>
      </c>
      <c r="B24" s="238"/>
      <c r="C24" s="275">
        <v>0</v>
      </c>
      <c r="D24" s="242">
        <v>100000</v>
      </c>
      <c r="E24" s="276">
        <f>+D24/2</f>
        <v>50000</v>
      </c>
      <c r="F24" s="240">
        <v>50000</v>
      </c>
      <c r="G24" s="277">
        <v>50000</v>
      </c>
      <c r="H24" s="242">
        <v>0</v>
      </c>
      <c r="I24" s="242">
        <v>0</v>
      </c>
      <c r="J24" s="242"/>
      <c r="K24" s="230"/>
      <c r="L24" s="230"/>
      <c r="M24" s="222"/>
      <c r="N24" s="222"/>
      <c r="O24" s="222"/>
      <c r="P24" s="222"/>
      <c r="Q24" s="222"/>
      <c r="R24" s="222"/>
      <c r="S24" s="222"/>
      <c r="T24" s="222"/>
      <c r="U24" s="222"/>
      <c r="V24" s="222"/>
    </row>
    <row r="25" spans="1:22">
      <c r="A25" s="258" t="s">
        <v>292</v>
      </c>
      <c r="B25" s="238"/>
      <c r="C25" s="275">
        <v>700000</v>
      </c>
      <c r="D25" s="242">
        <v>15000</v>
      </c>
      <c r="E25" s="276">
        <f>+D25/2</f>
        <v>7500</v>
      </c>
      <c r="F25" s="240">
        <v>0</v>
      </c>
      <c r="G25" s="277">
        <v>0</v>
      </c>
      <c r="H25" s="242">
        <v>0</v>
      </c>
      <c r="I25" s="242">
        <v>0</v>
      </c>
      <c r="J25" s="242"/>
      <c r="K25" s="230"/>
      <c r="L25" s="230"/>
      <c r="M25" s="222"/>
      <c r="N25" s="222"/>
      <c r="O25" s="222"/>
      <c r="P25" s="222"/>
      <c r="Q25" s="222"/>
      <c r="R25" s="222"/>
      <c r="S25" s="222"/>
      <c r="T25" s="222"/>
      <c r="U25" s="222"/>
      <c r="V25" s="222"/>
    </row>
    <row r="26" spans="1:22">
      <c r="A26" s="258" t="s">
        <v>538</v>
      </c>
      <c r="B26" s="238"/>
      <c r="C26" s="275">
        <v>0</v>
      </c>
      <c r="D26" s="242">
        <v>700000</v>
      </c>
      <c r="E26" s="276">
        <v>0</v>
      </c>
      <c r="F26" s="240">
        <v>0</v>
      </c>
      <c r="G26" s="277">
        <v>0</v>
      </c>
      <c r="H26" s="242">
        <v>0</v>
      </c>
      <c r="I26" s="242">
        <v>0</v>
      </c>
      <c r="J26" s="242"/>
      <c r="K26" s="230"/>
      <c r="L26" s="230"/>
      <c r="M26" s="222"/>
      <c r="N26" s="222"/>
      <c r="O26" s="222"/>
      <c r="P26" s="222"/>
      <c r="Q26" s="222"/>
      <c r="R26" s="222"/>
      <c r="S26" s="222"/>
      <c r="T26" s="222"/>
      <c r="U26" s="222"/>
      <c r="V26" s="222"/>
    </row>
    <row r="27" spans="1:22">
      <c r="A27" s="258" t="s">
        <v>299</v>
      </c>
      <c r="B27" s="238"/>
      <c r="C27" s="275"/>
      <c r="D27" s="242"/>
      <c r="E27" s="276"/>
      <c r="F27" s="240"/>
      <c r="G27" s="277"/>
      <c r="H27" s="242"/>
      <c r="I27" s="242"/>
      <c r="J27" s="242"/>
      <c r="K27" s="230"/>
      <c r="L27" s="230"/>
      <c r="M27" s="222"/>
      <c r="N27" s="222"/>
      <c r="O27" s="222"/>
      <c r="P27" s="222"/>
      <c r="Q27" s="222"/>
      <c r="R27" s="222"/>
      <c r="S27" s="222"/>
      <c r="T27" s="222"/>
      <c r="U27" s="222"/>
      <c r="V27" s="222"/>
    </row>
    <row r="28" spans="1:22">
      <c r="A28" s="258" t="s">
        <v>332</v>
      </c>
      <c r="B28" s="238"/>
      <c r="C28" s="275"/>
      <c r="D28" s="242"/>
      <c r="E28" s="276">
        <v>350000</v>
      </c>
      <c r="F28" s="240">
        <v>0</v>
      </c>
      <c r="G28" s="277"/>
      <c r="H28" s="242"/>
      <c r="I28" s="242"/>
      <c r="J28" s="242"/>
      <c r="K28" s="230"/>
      <c r="L28" s="230"/>
      <c r="M28" s="222"/>
      <c r="N28" s="222"/>
      <c r="O28" s="222"/>
      <c r="P28" s="222"/>
      <c r="Q28" s="222"/>
      <c r="R28" s="222"/>
      <c r="S28" s="222"/>
      <c r="T28" s="222"/>
      <c r="U28" s="222"/>
      <c r="V28" s="222"/>
    </row>
    <row r="29" spans="1:22" ht="31.5">
      <c r="A29" s="278"/>
      <c r="B29" s="257"/>
      <c r="C29" s="279">
        <f>SUM(C24:C26)</f>
        <v>700000</v>
      </c>
      <c r="D29" s="280">
        <f>SUM(D24:D26)</f>
        <v>815000</v>
      </c>
      <c r="E29" s="280">
        <f>SUM(E24:E26)</f>
        <v>57500</v>
      </c>
      <c r="F29" s="281">
        <f>SUM(F24:F28)</f>
        <v>50000</v>
      </c>
      <c r="G29" s="280">
        <f>SUM(G24:G26)</f>
        <v>50000</v>
      </c>
      <c r="H29" s="280">
        <f>SUM(H24:H26)</f>
        <v>0</v>
      </c>
      <c r="I29" s="282">
        <f>SUM(I24:I26)</f>
        <v>0</v>
      </c>
      <c r="J29" s="282"/>
      <c r="K29" s="230"/>
      <c r="L29" s="230"/>
      <c r="M29" s="222"/>
      <c r="N29" s="222"/>
      <c r="O29" s="222"/>
      <c r="P29" s="222"/>
      <c r="Q29" s="222"/>
      <c r="R29" s="222"/>
      <c r="S29" s="222"/>
      <c r="T29" s="222"/>
      <c r="U29" s="222"/>
      <c r="V29" s="222"/>
    </row>
    <row r="30" spans="1:22">
      <c r="A30" s="278"/>
      <c r="B30" s="243"/>
      <c r="C30" s="232"/>
      <c r="D30" s="233"/>
      <c r="E30" s="233"/>
      <c r="F30" s="235"/>
      <c r="G30" s="283"/>
      <c r="H30" s="283"/>
      <c r="I30" s="233"/>
      <c r="J30" s="270"/>
      <c r="K30" s="230"/>
      <c r="L30" s="230"/>
      <c r="M30" s="222"/>
      <c r="N30" s="222"/>
      <c r="O30" s="222"/>
      <c r="P30" s="222"/>
      <c r="Q30" s="222"/>
      <c r="R30" s="222"/>
      <c r="S30" s="222"/>
      <c r="T30" s="222"/>
      <c r="U30" s="222"/>
      <c r="V30" s="222"/>
    </row>
    <row r="31" spans="1:22">
      <c r="A31" s="278"/>
      <c r="B31" s="243"/>
      <c r="C31" s="232"/>
      <c r="D31" s="233"/>
      <c r="E31" s="233"/>
      <c r="F31" s="235"/>
      <c r="G31" s="283"/>
      <c r="H31" s="283"/>
      <c r="I31" s="233"/>
      <c r="J31" s="270"/>
      <c r="K31" s="230"/>
      <c r="L31" s="230"/>
      <c r="M31" s="222"/>
      <c r="N31" s="222"/>
      <c r="O31" s="222"/>
      <c r="P31" s="222"/>
      <c r="Q31" s="222"/>
      <c r="R31" s="222"/>
      <c r="S31" s="222"/>
      <c r="T31" s="222"/>
      <c r="U31" s="222"/>
      <c r="V31" s="222"/>
    </row>
    <row r="32" spans="1:22">
      <c r="A32" s="284" t="s">
        <v>516</v>
      </c>
      <c r="B32" s="238"/>
      <c r="C32" s="226" t="s">
        <v>14</v>
      </c>
      <c r="D32" s="226" t="s">
        <v>14</v>
      </c>
      <c r="E32" s="226" t="s">
        <v>14</v>
      </c>
      <c r="F32" s="227" t="s">
        <v>15</v>
      </c>
      <c r="G32" s="226" t="s">
        <v>272</v>
      </c>
      <c r="H32" s="226" t="s">
        <v>285</v>
      </c>
      <c r="I32" s="226" t="s">
        <v>318</v>
      </c>
      <c r="J32" s="236"/>
      <c r="K32" s="230"/>
      <c r="L32" s="230"/>
      <c r="M32" s="222"/>
      <c r="N32" s="222"/>
      <c r="O32" s="222"/>
      <c r="P32" s="222"/>
      <c r="Q32" s="222"/>
      <c r="R32" s="222"/>
      <c r="S32" s="222"/>
      <c r="T32" s="222"/>
      <c r="U32" s="222"/>
      <c r="V32" s="222"/>
    </row>
    <row r="33" spans="1:22">
      <c r="A33" s="285" t="s">
        <v>559</v>
      </c>
      <c r="B33" s="238"/>
      <c r="C33" s="236">
        <v>0</v>
      </c>
      <c r="D33" s="236">
        <v>0</v>
      </c>
      <c r="E33" s="236">
        <v>0</v>
      </c>
      <c r="F33" s="286">
        <v>0</v>
      </c>
      <c r="G33" s="236">
        <v>0</v>
      </c>
      <c r="H33" s="236">
        <v>0</v>
      </c>
      <c r="I33" s="241">
        <v>0</v>
      </c>
      <c r="J33" s="236"/>
      <c r="K33" s="230"/>
      <c r="L33" s="230"/>
      <c r="M33" s="222"/>
      <c r="N33" s="222"/>
      <c r="O33" s="222"/>
      <c r="P33" s="222"/>
      <c r="Q33" s="222"/>
      <c r="R33" s="222"/>
      <c r="S33" s="222"/>
      <c r="T33" s="222"/>
      <c r="U33" s="222"/>
      <c r="V33" s="222"/>
    </row>
    <row r="34" spans="1:22">
      <c r="A34" s="285" t="s">
        <v>302</v>
      </c>
      <c r="B34" s="238"/>
      <c r="C34" s="239">
        <v>0</v>
      </c>
      <c r="D34" s="236">
        <v>0</v>
      </c>
      <c r="E34" s="236">
        <v>0</v>
      </c>
      <c r="F34" s="286">
        <v>0</v>
      </c>
      <c r="G34" s="236">
        <v>5000</v>
      </c>
      <c r="H34" s="236">
        <v>0</v>
      </c>
      <c r="I34" s="241">
        <v>0</v>
      </c>
      <c r="J34" s="236"/>
      <c r="K34" s="230"/>
      <c r="L34" s="230"/>
      <c r="M34" s="222"/>
      <c r="N34" s="222"/>
      <c r="O34" s="222"/>
      <c r="P34" s="222"/>
      <c r="Q34" s="222"/>
      <c r="R34" s="222"/>
      <c r="S34" s="222"/>
      <c r="T34" s="222"/>
      <c r="U34" s="222"/>
      <c r="V34" s="222"/>
    </row>
    <row r="35" spans="1:22">
      <c r="A35" s="258" t="s">
        <v>303</v>
      </c>
      <c r="B35" s="238"/>
      <c r="C35" s="239">
        <v>0</v>
      </c>
      <c r="D35" s="236">
        <v>0</v>
      </c>
      <c r="E35" s="236">
        <v>0</v>
      </c>
      <c r="F35" s="286">
        <v>0</v>
      </c>
      <c r="G35" s="236">
        <v>50000</v>
      </c>
      <c r="H35" s="236">
        <v>0</v>
      </c>
      <c r="I35" s="241">
        <v>0</v>
      </c>
      <c r="J35" s="236"/>
      <c r="K35" s="230"/>
      <c r="L35" s="230"/>
      <c r="M35" s="222"/>
      <c r="N35" s="222"/>
      <c r="O35" s="222"/>
      <c r="P35" s="222"/>
      <c r="Q35" s="222"/>
      <c r="R35" s="222"/>
      <c r="S35" s="222"/>
      <c r="T35" s="222"/>
      <c r="U35" s="222"/>
      <c r="V35" s="222"/>
    </row>
    <row r="36" spans="1:22">
      <c r="A36" s="258" t="s">
        <v>524</v>
      </c>
      <c r="B36" s="238"/>
      <c r="C36" s="239">
        <v>0</v>
      </c>
      <c r="D36" s="236">
        <v>40000</v>
      </c>
      <c r="E36" s="236">
        <v>40000</v>
      </c>
      <c r="F36" s="286">
        <v>50000</v>
      </c>
      <c r="G36" s="236">
        <v>40000</v>
      </c>
      <c r="H36" s="236">
        <v>30000</v>
      </c>
      <c r="I36" s="241">
        <v>30000</v>
      </c>
      <c r="J36" s="236"/>
      <c r="K36" s="230"/>
      <c r="L36" s="230"/>
      <c r="M36" s="222"/>
      <c r="N36" s="222"/>
      <c r="O36" s="222"/>
      <c r="P36" s="222"/>
      <c r="Q36" s="222"/>
      <c r="R36" s="222"/>
      <c r="S36" s="222"/>
      <c r="T36" s="222"/>
      <c r="U36" s="222"/>
      <c r="V36" s="222"/>
    </row>
    <row r="37" spans="1:22">
      <c r="A37" s="258" t="s">
        <v>289</v>
      </c>
      <c r="B37" s="238"/>
      <c r="C37" s="239">
        <v>0</v>
      </c>
      <c r="D37" s="236">
        <v>100000</v>
      </c>
      <c r="E37" s="236">
        <f>+D37/2</f>
        <v>50000</v>
      </c>
      <c r="F37" s="286">
        <v>30000</v>
      </c>
      <c r="G37" s="236">
        <v>50000</v>
      </c>
      <c r="H37" s="236">
        <v>0</v>
      </c>
      <c r="I37" s="241">
        <v>50000</v>
      </c>
      <c r="J37" s="236"/>
      <c r="K37" s="230"/>
      <c r="L37" s="230"/>
      <c r="M37" s="222"/>
      <c r="N37" s="222"/>
      <c r="O37" s="222"/>
      <c r="P37" s="222"/>
      <c r="Q37" s="222"/>
      <c r="R37" s="222"/>
      <c r="S37" s="222"/>
      <c r="T37" s="222"/>
      <c r="U37" s="222"/>
      <c r="V37" s="222"/>
    </row>
    <row r="38" spans="1:22">
      <c r="A38" s="258">
        <v>4</v>
      </c>
      <c r="B38" s="238"/>
      <c r="C38" s="239">
        <v>0</v>
      </c>
      <c r="D38" s="236">
        <v>0</v>
      </c>
      <c r="E38" s="236">
        <v>0</v>
      </c>
      <c r="F38" s="286">
        <v>0</v>
      </c>
      <c r="G38" s="236">
        <v>0</v>
      </c>
      <c r="H38" s="236">
        <v>0</v>
      </c>
      <c r="I38" s="241">
        <v>0</v>
      </c>
      <c r="J38" s="236"/>
      <c r="K38" s="230"/>
      <c r="L38" s="230"/>
      <c r="M38" s="222"/>
      <c r="N38" s="222"/>
      <c r="O38" s="222"/>
      <c r="P38" s="222"/>
      <c r="Q38" s="222"/>
      <c r="R38" s="222"/>
      <c r="S38" s="222"/>
      <c r="T38" s="222"/>
      <c r="U38" s="222"/>
      <c r="V38" s="222"/>
    </row>
    <row r="39" spans="1:22" ht="31.5">
      <c r="A39" s="287"/>
      <c r="B39" s="271"/>
      <c r="C39" s="288">
        <f>SUM(C33:C38)</f>
        <v>0</v>
      </c>
      <c r="D39" s="289">
        <f t="shared" ref="D39:I39" si="1">SUM(D33:D38)</f>
        <v>140000</v>
      </c>
      <c r="E39" s="289">
        <f t="shared" si="1"/>
        <v>90000</v>
      </c>
      <c r="F39" s="290">
        <f t="shared" si="1"/>
        <v>80000</v>
      </c>
      <c r="G39" s="289">
        <f t="shared" si="1"/>
        <v>145000</v>
      </c>
      <c r="H39" s="289">
        <f t="shared" si="1"/>
        <v>30000</v>
      </c>
      <c r="I39" s="291">
        <f t="shared" si="1"/>
        <v>80000</v>
      </c>
      <c r="J39" s="267"/>
      <c r="K39" s="230"/>
      <c r="L39" s="230"/>
      <c r="M39" s="222"/>
      <c r="N39" s="222"/>
      <c r="O39" s="222"/>
      <c r="P39" s="222"/>
      <c r="Q39" s="222"/>
      <c r="R39" s="222"/>
      <c r="S39" s="222"/>
      <c r="T39" s="222"/>
      <c r="U39" s="222"/>
      <c r="V39" s="222"/>
    </row>
    <row r="40" spans="1:22">
      <c r="A40" s="247"/>
      <c r="B40" s="243"/>
      <c r="C40" s="243"/>
      <c r="D40" s="234"/>
      <c r="E40" s="234"/>
      <c r="F40" s="235"/>
      <c r="G40" s="234"/>
      <c r="H40" s="234"/>
      <c r="I40" s="270"/>
      <c r="J40" s="270"/>
      <c r="K40" s="230"/>
      <c r="L40" s="230"/>
      <c r="M40" s="222"/>
      <c r="N40" s="222"/>
      <c r="O40" s="222"/>
      <c r="P40" s="222"/>
      <c r="Q40" s="222"/>
      <c r="R40" s="222"/>
      <c r="S40" s="222"/>
      <c r="T40" s="222"/>
      <c r="U40" s="222"/>
      <c r="V40" s="222"/>
    </row>
    <row r="41" spans="1:22">
      <c r="A41" s="292"/>
      <c r="B41" s="221"/>
      <c r="C41" s="221"/>
      <c r="D41" s="221"/>
      <c r="E41" s="221"/>
      <c r="F41" s="248"/>
      <c r="G41" s="221"/>
      <c r="H41" s="221"/>
      <c r="I41" s="221"/>
      <c r="J41" s="221"/>
      <c r="K41" s="230"/>
      <c r="L41" s="230"/>
      <c r="M41" s="222"/>
      <c r="N41" s="222"/>
      <c r="O41" s="222"/>
      <c r="P41" s="222"/>
      <c r="Q41" s="222"/>
      <c r="R41" s="222"/>
      <c r="S41" s="222"/>
      <c r="T41" s="222"/>
      <c r="U41" s="222"/>
      <c r="V41" s="222"/>
    </row>
    <row r="42" spans="1:22">
      <c r="A42" s="284" t="s">
        <v>304</v>
      </c>
      <c r="B42" s="238"/>
      <c r="C42" s="226" t="s">
        <v>14</v>
      </c>
      <c r="D42" s="226" t="s">
        <v>14</v>
      </c>
      <c r="E42" s="226" t="s">
        <v>14</v>
      </c>
      <c r="F42" s="227" t="s">
        <v>15</v>
      </c>
      <c r="G42" s="226" t="s">
        <v>272</v>
      </c>
      <c r="H42" s="226" t="s">
        <v>285</v>
      </c>
      <c r="I42" s="226" t="s">
        <v>318</v>
      </c>
      <c r="J42" s="236"/>
      <c r="K42" s="230"/>
      <c r="L42" s="230"/>
      <c r="M42" s="222"/>
      <c r="N42" s="222"/>
      <c r="O42" s="222"/>
      <c r="P42" s="222"/>
      <c r="Q42" s="222"/>
      <c r="R42" s="222"/>
      <c r="S42" s="222"/>
      <c r="T42" s="222"/>
      <c r="U42" s="222"/>
      <c r="V42" s="222"/>
    </row>
    <row r="43" spans="1:22">
      <c r="A43" s="293" t="s">
        <v>305</v>
      </c>
      <c r="B43" s="238"/>
      <c r="C43" s="239"/>
      <c r="D43" s="236"/>
      <c r="E43" s="236"/>
      <c r="F43" s="286"/>
      <c r="G43" s="236"/>
      <c r="H43" s="236"/>
      <c r="I43" s="241"/>
      <c r="J43" s="236"/>
      <c r="K43" s="230"/>
      <c r="L43" s="230"/>
      <c r="M43" s="222"/>
      <c r="N43" s="222"/>
      <c r="O43" s="222"/>
      <c r="P43" s="222"/>
      <c r="Q43" s="222"/>
      <c r="R43" s="222"/>
      <c r="S43" s="222"/>
      <c r="T43" s="222"/>
      <c r="U43" s="222"/>
      <c r="V43" s="222"/>
    </row>
    <row r="44" spans="1:22">
      <c r="A44" s="294" t="s">
        <v>517</v>
      </c>
      <c r="B44" s="238"/>
      <c r="C44" s="239"/>
      <c r="D44" s="236"/>
      <c r="E44" s="236"/>
      <c r="F44" s="286">
        <v>0</v>
      </c>
      <c r="G44" s="236"/>
      <c r="H44" s="236"/>
      <c r="I44" s="241"/>
      <c r="J44" s="236"/>
      <c r="K44" s="230"/>
      <c r="L44" s="230"/>
      <c r="M44" s="222"/>
      <c r="N44" s="222"/>
      <c r="O44" s="222"/>
      <c r="P44" s="222"/>
      <c r="Q44" s="222"/>
      <c r="R44" s="222"/>
      <c r="S44" s="222"/>
      <c r="T44" s="222"/>
      <c r="U44" s="222"/>
      <c r="V44" s="222"/>
    </row>
    <row r="45" spans="1:22">
      <c r="A45" s="294" t="s">
        <v>518</v>
      </c>
      <c r="B45" s="238"/>
      <c r="C45" s="239"/>
      <c r="D45" s="236"/>
      <c r="E45" s="236"/>
      <c r="F45" s="286"/>
      <c r="G45" s="236">
        <v>3000000</v>
      </c>
      <c r="H45" s="236"/>
      <c r="I45" s="241"/>
      <c r="J45" s="236"/>
      <c r="K45" s="230"/>
      <c r="L45" s="230"/>
      <c r="M45" s="222"/>
      <c r="N45" s="222"/>
      <c r="O45" s="222"/>
      <c r="P45" s="222"/>
      <c r="Q45" s="222"/>
      <c r="R45" s="222"/>
      <c r="S45" s="222"/>
      <c r="T45" s="222"/>
      <c r="U45" s="222"/>
      <c r="V45" s="222"/>
    </row>
    <row r="46" spans="1:22">
      <c r="A46" s="294" t="s">
        <v>519</v>
      </c>
      <c r="B46" s="238"/>
      <c r="C46" s="239"/>
      <c r="D46" s="236"/>
      <c r="E46" s="236"/>
      <c r="F46" s="286">
        <v>600000</v>
      </c>
      <c r="G46" s="236"/>
      <c r="H46" s="236"/>
      <c r="I46" s="241"/>
      <c r="J46" s="236"/>
      <c r="K46" s="230"/>
      <c r="L46" s="230"/>
      <c r="M46" s="222"/>
      <c r="N46" s="222"/>
      <c r="O46" s="222"/>
      <c r="P46" s="222"/>
      <c r="Q46" s="222"/>
      <c r="R46" s="222"/>
      <c r="S46" s="222"/>
      <c r="T46" s="222"/>
      <c r="U46" s="222"/>
      <c r="V46" s="222"/>
    </row>
    <row r="47" spans="1:22">
      <c r="A47" s="294" t="s">
        <v>520</v>
      </c>
      <c r="B47" s="238"/>
      <c r="C47" s="239"/>
      <c r="D47" s="236"/>
      <c r="E47" s="236"/>
      <c r="F47" s="286">
        <v>0</v>
      </c>
      <c r="G47" s="236"/>
      <c r="H47" s="236"/>
      <c r="I47" s="241"/>
      <c r="J47" s="236"/>
      <c r="K47" s="230"/>
      <c r="L47" s="230"/>
      <c r="M47" s="222"/>
      <c r="N47" s="222"/>
      <c r="O47" s="222"/>
      <c r="P47" s="222"/>
      <c r="Q47" s="222"/>
      <c r="R47" s="222"/>
      <c r="S47" s="222"/>
      <c r="T47" s="222"/>
      <c r="U47" s="222"/>
      <c r="V47" s="222"/>
    </row>
    <row r="48" spans="1:22">
      <c r="A48" s="294" t="s">
        <v>521</v>
      </c>
      <c r="B48" s="238"/>
      <c r="C48" s="239"/>
      <c r="D48" s="236"/>
      <c r="E48" s="236"/>
      <c r="F48" s="286"/>
      <c r="G48" s="236">
        <v>3500000</v>
      </c>
      <c r="H48" s="236"/>
      <c r="I48" s="241"/>
      <c r="J48" s="236"/>
      <c r="K48" s="230"/>
      <c r="L48" s="230"/>
      <c r="M48" s="222"/>
      <c r="N48" s="222"/>
      <c r="O48" s="222"/>
      <c r="P48" s="222"/>
      <c r="Q48" s="222"/>
      <c r="R48" s="222"/>
      <c r="S48" s="222"/>
      <c r="T48" s="222"/>
      <c r="U48" s="222"/>
      <c r="V48" s="222"/>
    </row>
    <row r="49" spans="1:22">
      <c r="A49" s="294" t="s">
        <v>522</v>
      </c>
      <c r="B49" s="238"/>
      <c r="C49" s="239"/>
      <c r="D49" s="236"/>
      <c r="E49" s="236"/>
      <c r="F49" s="286">
        <v>0</v>
      </c>
      <c r="G49" s="236"/>
      <c r="H49" s="236">
        <v>8000000</v>
      </c>
      <c r="I49" s="241"/>
      <c r="J49" s="236"/>
      <c r="K49" s="230"/>
      <c r="L49" s="230"/>
      <c r="M49" s="222"/>
      <c r="N49" s="222"/>
      <c r="O49" s="222"/>
      <c r="P49" s="222"/>
      <c r="Q49" s="222"/>
      <c r="R49" s="222"/>
      <c r="S49" s="222"/>
      <c r="T49" s="222"/>
      <c r="U49" s="222"/>
      <c r="V49" s="222"/>
    </row>
    <row r="50" spans="1:22">
      <c r="A50" s="294" t="s">
        <v>471</v>
      </c>
      <c r="B50" s="295"/>
      <c r="C50" s="296">
        <v>864035.09</v>
      </c>
      <c r="D50" s="236">
        <v>1200000</v>
      </c>
      <c r="E50" s="236">
        <v>1200000</v>
      </c>
      <c r="F50" s="286">
        <v>0</v>
      </c>
      <c r="G50" s="236">
        <v>0</v>
      </c>
      <c r="H50" s="236">
        <v>0</v>
      </c>
      <c r="I50" s="241">
        <v>0</v>
      </c>
      <c r="J50" s="236"/>
      <c r="K50" s="230"/>
      <c r="L50" s="230"/>
      <c r="M50" s="222"/>
      <c r="N50" s="222"/>
      <c r="O50" s="222"/>
      <c r="P50" s="222"/>
      <c r="Q50" s="222"/>
      <c r="R50" s="222"/>
      <c r="S50" s="222"/>
      <c r="T50" s="222"/>
      <c r="U50" s="222"/>
      <c r="V50" s="222"/>
    </row>
    <row r="51" spans="1:22">
      <c r="A51" s="285" t="s">
        <v>335</v>
      </c>
      <c r="B51" s="295"/>
      <c r="C51" s="296">
        <v>0</v>
      </c>
      <c r="D51" s="236">
        <v>700000</v>
      </c>
      <c r="E51" s="236">
        <v>700000</v>
      </c>
      <c r="F51" s="286">
        <v>2200000</v>
      </c>
      <c r="G51" s="236">
        <v>0</v>
      </c>
      <c r="H51" s="236">
        <v>0</v>
      </c>
      <c r="I51" s="241">
        <v>0</v>
      </c>
      <c r="J51" s="236"/>
      <c r="K51" s="230"/>
      <c r="L51" s="230"/>
      <c r="M51" s="222"/>
      <c r="N51" s="222"/>
      <c r="O51" s="222"/>
      <c r="P51" s="222"/>
      <c r="Q51" s="222"/>
      <c r="R51" s="222"/>
      <c r="S51" s="222"/>
      <c r="T51" s="222"/>
      <c r="U51" s="222"/>
      <c r="V51" s="222"/>
    </row>
    <row r="52" spans="1:22" ht="54">
      <c r="A52" s="285" t="s">
        <v>306</v>
      </c>
      <c r="B52" s="295" t="s">
        <v>561</v>
      </c>
      <c r="C52" s="296">
        <v>0</v>
      </c>
      <c r="D52" s="236">
        <v>200000</v>
      </c>
      <c r="E52" s="236">
        <v>200000</v>
      </c>
      <c r="F52" s="286">
        <v>100000</v>
      </c>
      <c r="G52" s="236">
        <v>100000</v>
      </c>
      <c r="H52" s="236">
        <v>100000</v>
      </c>
      <c r="I52" s="241">
        <v>100000</v>
      </c>
      <c r="J52" s="236"/>
      <c r="K52" s="230"/>
      <c r="L52" s="230"/>
      <c r="M52" s="222"/>
      <c r="N52" s="222"/>
      <c r="O52" s="222"/>
      <c r="P52" s="222"/>
      <c r="Q52" s="222"/>
      <c r="R52" s="222"/>
      <c r="S52" s="222"/>
      <c r="T52" s="222"/>
      <c r="U52" s="222"/>
      <c r="V52" s="222"/>
    </row>
    <row r="53" spans="1:22" ht="54">
      <c r="A53" s="285" t="s">
        <v>307</v>
      </c>
      <c r="B53" s="295" t="s">
        <v>561</v>
      </c>
      <c r="C53" s="296">
        <v>0</v>
      </c>
      <c r="D53" s="236">
        <v>500000</v>
      </c>
      <c r="E53" s="236">
        <v>500000</v>
      </c>
      <c r="F53" s="286">
        <v>500000</v>
      </c>
      <c r="G53" s="236">
        <v>0</v>
      </c>
      <c r="H53" s="236">
        <v>0</v>
      </c>
      <c r="I53" s="241">
        <v>0</v>
      </c>
      <c r="J53" s="236"/>
      <c r="K53" s="230"/>
      <c r="L53" s="230"/>
      <c r="M53" s="222"/>
      <c r="N53" s="222"/>
      <c r="O53" s="222"/>
      <c r="P53" s="222"/>
      <c r="Q53" s="222"/>
      <c r="R53" s="222"/>
      <c r="S53" s="222"/>
      <c r="T53" s="222"/>
      <c r="U53" s="222"/>
      <c r="V53" s="222"/>
    </row>
    <row r="54" spans="1:22" ht="54">
      <c r="A54" s="285" t="s">
        <v>333</v>
      </c>
      <c r="B54" s="295" t="s">
        <v>561</v>
      </c>
      <c r="C54" s="296">
        <v>0</v>
      </c>
      <c r="D54" s="236">
        <v>3000000</v>
      </c>
      <c r="E54" s="236">
        <f>D54</f>
        <v>3000000</v>
      </c>
      <c r="F54" s="286">
        <v>4000000</v>
      </c>
      <c r="G54" s="236">
        <v>5000000</v>
      </c>
      <c r="H54" s="236">
        <v>5000000</v>
      </c>
      <c r="I54" s="241">
        <v>5000000</v>
      </c>
      <c r="J54" s="236">
        <v>5000000</v>
      </c>
      <c r="K54" s="230"/>
      <c r="L54" s="230"/>
      <c r="M54" s="222"/>
      <c r="N54" s="222"/>
      <c r="O54" s="222"/>
      <c r="P54" s="222"/>
      <c r="Q54" s="222"/>
      <c r="R54" s="222"/>
      <c r="S54" s="222"/>
      <c r="T54" s="222"/>
      <c r="U54" s="222"/>
      <c r="V54" s="222"/>
    </row>
    <row r="55" spans="1:22" ht="31.5">
      <c r="A55" s="297"/>
      <c r="B55" s="295"/>
      <c r="C55" s="298">
        <f>SUM(C50:C54)</f>
        <v>864035.09</v>
      </c>
      <c r="D55" s="289">
        <f t="shared" ref="D55:I55" si="2">SUM(D43:D54)</f>
        <v>5600000</v>
      </c>
      <c r="E55" s="289">
        <f t="shared" si="2"/>
        <v>5600000</v>
      </c>
      <c r="F55" s="290">
        <f t="shared" si="2"/>
        <v>7400000</v>
      </c>
      <c r="G55" s="289">
        <f t="shared" si="2"/>
        <v>11600000</v>
      </c>
      <c r="H55" s="289">
        <f t="shared" si="2"/>
        <v>13100000</v>
      </c>
      <c r="I55" s="291">
        <f t="shared" si="2"/>
        <v>5100000</v>
      </c>
      <c r="J55" s="267"/>
      <c r="K55" s="230"/>
      <c r="L55" s="230"/>
      <c r="M55" s="222"/>
      <c r="N55" s="222"/>
      <c r="O55" s="222"/>
      <c r="P55" s="222"/>
      <c r="Q55" s="222"/>
      <c r="R55" s="222"/>
      <c r="S55" s="222"/>
      <c r="T55" s="222"/>
      <c r="U55" s="222"/>
      <c r="V55" s="222"/>
    </row>
    <row r="56" spans="1:22">
      <c r="A56" s="297"/>
      <c r="B56" s="299"/>
      <c r="C56" s="299"/>
      <c r="D56" s="268"/>
      <c r="E56" s="268"/>
      <c r="F56" s="269"/>
      <c r="G56" s="268"/>
      <c r="H56" s="268"/>
      <c r="I56" s="234"/>
      <c r="J56" s="234"/>
      <c r="K56" s="230"/>
      <c r="L56" s="230"/>
      <c r="M56" s="222"/>
      <c r="N56" s="222"/>
      <c r="O56" s="222"/>
      <c r="P56" s="222"/>
      <c r="Q56" s="222"/>
      <c r="R56" s="222"/>
      <c r="S56" s="222"/>
      <c r="T56" s="222"/>
      <c r="U56" s="222"/>
      <c r="V56" s="222"/>
    </row>
    <row r="57" spans="1:22">
      <c r="A57" s="297"/>
      <c r="B57" s="243"/>
      <c r="C57" s="243"/>
      <c r="D57" s="268"/>
      <c r="E57" s="268"/>
      <c r="F57" s="269"/>
      <c r="G57" s="268"/>
      <c r="H57" s="268"/>
      <c r="I57" s="270"/>
      <c r="J57" s="270"/>
      <c r="K57" s="230"/>
      <c r="L57" s="230"/>
      <c r="M57" s="222"/>
      <c r="N57" s="222"/>
      <c r="O57" s="222"/>
      <c r="P57" s="222"/>
      <c r="Q57" s="222"/>
      <c r="R57" s="222"/>
      <c r="S57" s="222"/>
      <c r="T57" s="222"/>
      <c r="U57" s="222"/>
      <c r="V57" s="222"/>
    </row>
    <row r="58" spans="1:22">
      <c r="A58" s="300" t="s">
        <v>308</v>
      </c>
      <c r="B58" s="238"/>
      <c r="C58" s="226" t="s">
        <v>14</v>
      </c>
      <c r="D58" s="226" t="s">
        <v>14</v>
      </c>
      <c r="E58" s="226" t="s">
        <v>14</v>
      </c>
      <c r="F58" s="227" t="s">
        <v>15</v>
      </c>
      <c r="G58" s="226" t="s">
        <v>272</v>
      </c>
      <c r="H58" s="226" t="s">
        <v>285</v>
      </c>
      <c r="I58" s="226" t="s">
        <v>318</v>
      </c>
      <c r="J58" s="229" t="s">
        <v>511</v>
      </c>
      <c r="K58" s="230"/>
      <c r="L58" s="230"/>
      <c r="M58" s="222"/>
      <c r="N58" s="222"/>
      <c r="O58" s="222"/>
      <c r="P58" s="222"/>
      <c r="Q58" s="222"/>
      <c r="R58" s="222"/>
      <c r="S58" s="222"/>
      <c r="T58" s="222"/>
      <c r="U58" s="222"/>
      <c r="V58" s="222"/>
    </row>
    <row r="59" spans="1:22">
      <c r="A59" s="258" t="s">
        <v>310</v>
      </c>
      <c r="B59" s="238"/>
      <c r="C59" s="226"/>
      <c r="D59" s="226"/>
      <c r="E59" s="226"/>
      <c r="F59" s="227"/>
      <c r="G59" s="226"/>
      <c r="H59" s="226"/>
      <c r="I59" s="226"/>
      <c r="J59" s="229"/>
      <c r="K59" s="230"/>
      <c r="L59" s="230"/>
      <c r="M59" s="222"/>
      <c r="N59" s="222"/>
      <c r="O59" s="222"/>
      <c r="P59" s="222"/>
      <c r="Q59" s="222"/>
      <c r="R59" s="222"/>
      <c r="S59" s="222"/>
      <c r="T59" s="222"/>
      <c r="U59" s="222"/>
      <c r="V59" s="222"/>
    </row>
    <row r="60" spans="1:22">
      <c r="A60" s="258" t="s">
        <v>309</v>
      </c>
      <c r="B60" s="238"/>
      <c r="C60" s="301"/>
      <c r="D60" s="301"/>
      <c r="E60" s="301"/>
      <c r="F60" s="302">
        <v>0</v>
      </c>
      <c r="G60" s="301"/>
      <c r="H60" s="301"/>
      <c r="I60" s="301"/>
      <c r="J60" s="301"/>
      <c r="K60" s="230"/>
      <c r="L60" s="230"/>
      <c r="M60" s="222"/>
      <c r="N60" s="222"/>
      <c r="O60" s="222"/>
      <c r="P60" s="222"/>
      <c r="Q60" s="222"/>
      <c r="R60" s="222"/>
      <c r="S60" s="222"/>
      <c r="T60" s="222"/>
      <c r="U60" s="222"/>
      <c r="V60" s="222"/>
    </row>
    <row r="61" spans="1:22">
      <c r="A61" s="258" t="s">
        <v>472</v>
      </c>
      <c r="B61" s="238"/>
      <c r="C61" s="239">
        <v>0</v>
      </c>
      <c r="D61" s="236">
        <v>0</v>
      </c>
      <c r="E61" s="236">
        <v>150000</v>
      </c>
      <c r="F61" s="286">
        <v>0</v>
      </c>
      <c r="G61" s="236">
        <v>0</v>
      </c>
      <c r="H61" s="236">
        <v>0</v>
      </c>
      <c r="I61" s="241">
        <v>0</v>
      </c>
      <c r="J61" s="236"/>
      <c r="K61" s="230"/>
      <c r="L61" s="230"/>
      <c r="M61" s="222"/>
      <c r="N61" s="222"/>
      <c r="O61" s="222"/>
      <c r="P61" s="222"/>
      <c r="Q61" s="222"/>
      <c r="R61" s="222"/>
      <c r="S61" s="222"/>
      <c r="T61" s="222"/>
      <c r="U61" s="222"/>
      <c r="V61" s="222"/>
    </row>
    <row r="62" spans="1:22">
      <c r="A62" s="258" t="s">
        <v>310</v>
      </c>
      <c r="B62" s="238"/>
      <c r="C62" s="239">
        <v>0</v>
      </c>
      <c r="D62" s="236">
        <v>0</v>
      </c>
      <c r="E62" s="236">
        <f>D62</f>
        <v>0</v>
      </c>
      <c r="F62" s="286">
        <v>0</v>
      </c>
      <c r="G62" s="236">
        <v>0</v>
      </c>
      <c r="H62" s="236">
        <v>0</v>
      </c>
      <c r="I62" s="241">
        <v>0</v>
      </c>
      <c r="J62" s="236"/>
      <c r="K62" s="230"/>
      <c r="L62" s="230"/>
      <c r="M62" s="222"/>
      <c r="N62" s="222"/>
      <c r="O62" s="222"/>
      <c r="P62" s="222"/>
      <c r="Q62" s="222"/>
      <c r="R62" s="222"/>
      <c r="S62" s="222"/>
      <c r="T62" s="222"/>
      <c r="U62" s="222"/>
      <c r="V62" s="222"/>
    </row>
    <row r="63" spans="1:22">
      <c r="A63" s="258" t="s">
        <v>311</v>
      </c>
      <c r="B63" s="238"/>
      <c r="C63" s="239">
        <v>0</v>
      </c>
      <c r="D63" s="236">
        <v>0</v>
      </c>
      <c r="E63" s="236"/>
      <c r="F63" s="286">
        <v>0</v>
      </c>
      <c r="G63" s="236"/>
      <c r="H63" s="236">
        <v>0</v>
      </c>
      <c r="I63" s="241">
        <v>0</v>
      </c>
      <c r="J63" s="236"/>
      <c r="K63" s="230"/>
      <c r="L63" s="230"/>
      <c r="M63" s="222"/>
      <c r="N63" s="222"/>
      <c r="O63" s="222"/>
      <c r="P63" s="222"/>
      <c r="Q63" s="222"/>
      <c r="R63" s="222"/>
      <c r="S63" s="222"/>
      <c r="T63" s="222"/>
      <c r="U63" s="222"/>
      <c r="V63" s="222"/>
    </row>
    <row r="64" spans="1:22">
      <c r="A64" s="258" t="s">
        <v>485</v>
      </c>
      <c r="B64" s="238"/>
      <c r="C64" s="239">
        <v>0</v>
      </c>
      <c r="D64" s="236">
        <v>0</v>
      </c>
      <c r="E64" s="236">
        <v>350000</v>
      </c>
      <c r="F64" s="286"/>
      <c r="G64" s="236"/>
      <c r="H64" s="236"/>
      <c r="I64" s="241"/>
      <c r="J64" s="236"/>
      <c r="K64" s="230"/>
      <c r="L64" s="230"/>
      <c r="M64" s="222"/>
      <c r="N64" s="222"/>
      <c r="O64" s="222"/>
      <c r="P64" s="222"/>
      <c r="Q64" s="222"/>
      <c r="R64" s="222"/>
      <c r="S64" s="222"/>
      <c r="T64" s="222"/>
      <c r="U64" s="222"/>
      <c r="V64" s="222"/>
    </row>
    <row r="65" spans="1:22">
      <c r="A65" s="258" t="s">
        <v>312</v>
      </c>
      <c r="B65" s="238"/>
      <c r="C65" s="239">
        <v>110279.6</v>
      </c>
      <c r="D65" s="236">
        <v>200000</v>
      </c>
      <c r="E65" s="236">
        <f>D65</f>
        <v>200000</v>
      </c>
      <c r="F65" s="286">
        <v>100000</v>
      </c>
      <c r="G65" s="236">
        <v>50000</v>
      </c>
      <c r="H65" s="236">
        <v>50000</v>
      </c>
      <c r="I65" s="241">
        <v>50000</v>
      </c>
      <c r="J65" s="236"/>
      <c r="K65" s="230"/>
      <c r="L65" s="230"/>
      <c r="M65" s="222"/>
      <c r="N65" s="222"/>
      <c r="O65" s="222"/>
      <c r="P65" s="222"/>
      <c r="Q65" s="222"/>
      <c r="R65" s="222"/>
      <c r="S65" s="222"/>
      <c r="T65" s="222"/>
      <c r="U65" s="222"/>
      <c r="V65" s="222"/>
    </row>
    <row r="66" spans="1:22">
      <c r="A66" s="303"/>
      <c r="B66" s="243"/>
      <c r="C66" s="304">
        <f>SUM(C60:C65)</f>
        <v>110279.6</v>
      </c>
      <c r="D66" s="304">
        <f t="shared" ref="D66:J66" si="3">SUM(D60:D65)</f>
        <v>200000</v>
      </c>
      <c r="E66" s="304">
        <f t="shared" si="3"/>
        <v>700000</v>
      </c>
      <c r="F66" s="305">
        <f t="shared" si="3"/>
        <v>100000</v>
      </c>
      <c r="G66" s="304">
        <f t="shared" si="3"/>
        <v>50000</v>
      </c>
      <c r="H66" s="304">
        <f t="shared" si="3"/>
        <v>50000</v>
      </c>
      <c r="I66" s="304">
        <f t="shared" si="3"/>
        <v>50000</v>
      </c>
      <c r="J66" s="304">
        <f t="shared" si="3"/>
        <v>0</v>
      </c>
      <c r="K66" s="230"/>
      <c r="L66" s="230"/>
      <c r="M66" s="222"/>
      <c r="N66" s="222"/>
      <c r="O66" s="222"/>
      <c r="P66" s="222"/>
      <c r="Q66" s="222"/>
      <c r="R66" s="222"/>
      <c r="S66" s="222"/>
      <c r="T66" s="222"/>
      <c r="U66" s="222"/>
      <c r="V66" s="222"/>
    </row>
    <row r="67" spans="1:22">
      <c r="A67" s="247"/>
      <c r="B67" s="243"/>
      <c r="C67" s="243"/>
      <c r="D67" s="234"/>
      <c r="E67" s="234"/>
      <c r="F67" s="235"/>
      <c r="G67" s="234"/>
      <c r="H67" s="234"/>
      <c r="I67" s="234"/>
      <c r="J67" s="234"/>
      <c r="K67" s="230"/>
      <c r="L67" s="230"/>
      <c r="M67" s="222"/>
      <c r="N67" s="222"/>
      <c r="O67" s="222"/>
      <c r="P67" s="222"/>
      <c r="Q67" s="222"/>
      <c r="R67" s="222"/>
      <c r="S67" s="222"/>
      <c r="T67" s="222"/>
      <c r="U67" s="222"/>
      <c r="V67" s="222"/>
    </row>
    <row r="68" spans="1:22">
      <c r="A68" s="284" t="s">
        <v>313</v>
      </c>
      <c r="B68" s="238"/>
      <c r="C68" s="226" t="s">
        <v>14</v>
      </c>
      <c r="D68" s="226" t="s">
        <v>14</v>
      </c>
      <c r="E68" s="226" t="s">
        <v>14</v>
      </c>
      <c r="F68" s="227" t="s">
        <v>15</v>
      </c>
      <c r="G68" s="226" t="s">
        <v>272</v>
      </c>
      <c r="H68" s="226" t="s">
        <v>285</v>
      </c>
      <c r="I68" s="226" t="s">
        <v>318</v>
      </c>
      <c r="J68" s="229" t="s">
        <v>511</v>
      </c>
      <c r="K68" s="230"/>
      <c r="L68" s="230"/>
      <c r="M68" s="222"/>
      <c r="N68" s="222"/>
      <c r="O68" s="222"/>
      <c r="P68" s="222"/>
      <c r="Q68" s="222"/>
      <c r="R68" s="222"/>
      <c r="S68" s="222"/>
      <c r="T68" s="222"/>
      <c r="U68" s="222"/>
      <c r="V68" s="222"/>
    </row>
    <row r="69" spans="1:22" ht="54">
      <c r="A69" s="306" t="s">
        <v>531</v>
      </c>
      <c r="B69" s="295" t="s">
        <v>561</v>
      </c>
      <c r="C69" s="226"/>
      <c r="D69" s="226"/>
      <c r="E69" s="226"/>
      <c r="F69" s="307">
        <v>30000</v>
      </c>
      <c r="G69" s="226"/>
      <c r="H69" s="226"/>
      <c r="I69" s="226"/>
      <c r="J69" s="229"/>
      <c r="K69" s="230"/>
      <c r="L69" s="230"/>
      <c r="M69" s="222"/>
      <c r="N69" s="222"/>
      <c r="O69" s="222"/>
      <c r="P69" s="222"/>
      <c r="Q69" s="222"/>
      <c r="R69" s="222"/>
      <c r="S69" s="222"/>
      <c r="T69" s="222"/>
      <c r="U69" s="222"/>
      <c r="V69" s="222"/>
    </row>
    <row r="70" spans="1:22">
      <c r="A70" s="306" t="s">
        <v>539</v>
      </c>
      <c r="B70" s="238"/>
      <c r="C70" s="226"/>
      <c r="D70" s="226"/>
      <c r="E70" s="226"/>
      <c r="F70" s="307">
        <v>0</v>
      </c>
      <c r="G70" s="308">
        <v>100000</v>
      </c>
      <c r="H70" s="226"/>
      <c r="I70" s="226"/>
      <c r="J70" s="229"/>
      <c r="K70" s="230"/>
      <c r="L70" s="230"/>
      <c r="M70" s="222"/>
      <c r="N70" s="222"/>
      <c r="O70" s="222"/>
      <c r="P70" s="222"/>
      <c r="Q70" s="222"/>
      <c r="R70" s="222"/>
      <c r="S70" s="222"/>
      <c r="T70" s="222"/>
      <c r="U70" s="222"/>
      <c r="V70" s="222"/>
    </row>
    <row r="71" spans="1:22">
      <c r="A71" s="306" t="s">
        <v>289</v>
      </c>
      <c r="B71" s="238"/>
      <c r="C71" s="239">
        <v>0</v>
      </c>
      <c r="D71" s="309">
        <v>50000</v>
      </c>
      <c r="E71" s="309">
        <v>0</v>
      </c>
      <c r="F71" s="310">
        <v>50000</v>
      </c>
      <c r="G71" s="309">
        <v>50000</v>
      </c>
      <c r="H71" s="309">
        <v>0</v>
      </c>
      <c r="I71" s="309">
        <v>0</v>
      </c>
      <c r="J71" s="236"/>
      <c r="K71" s="230"/>
      <c r="L71" s="230"/>
      <c r="M71" s="222"/>
      <c r="N71" s="222"/>
      <c r="O71" s="222"/>
      <c r="P71" s="222"/>
      <c r="Q71" s="222"/>
      <c r="R71" s="222"/>
      <c r="S71" s="222"/>
      <c r="T71" s="222"/>
      <c r="U71" s="222"/>
      <c r="V71" s="222"/>
    </row>
    <row r="72" spans="1:22">
      <c r="A72" s="285" t="s">
        <v>314</v>
      </c>
      <c r="B72" s="238"/>
      <c r="C72" s="239">
        <v>634784.80000000005</v>
      </c>
      <c r="D72" s="309">
        <v>1500000</v>
      </c>
      <c r="E72" s="309">
        <f>+D72</f>
        <v>1500000</v>
      </c>
      <c r="F72" s="310">
        <v>1600000</v>
      </c>
      <c r="G72" s="309">
        <v>3000000</v>
      </c>
      <c r="H72" s="309">
        <v>3000000</v>
      </c>
      <c r="I72" s="309">
        <v>3000000</v>
      </c>
      <c r="J72" s="236"/>
      <c r="K72" s="230"/>
      <c r="L72" s="230"/>
      <c r="M72" s="222"/>
      <c r="N72" s="222"/>
      <c r="O72" s="222"/>
      <c r="P72" s="222"/>
      <c r="Q72" s="222"/>
      <c r="R72" s="222"/>
      <c r="S72" s="222"/>
      <c r="T72" s="222"/>
      <c r="U72" s="222"/>
      <c r="V72" s="222"/>
    </row>
    <row r="73" spans="1:22" ht="54">
      <c r="A73" s="285" t="s">
        <v>530</v>
      </c>
      <c r="B73" s="238"/>
      <c r="C73" s="239"/>
      <c r="D73" s="309"/>
      <c r="E73" s="309"/>
      <c r="F73" s="310"/>
      <c r="G73" s="309"/>
      <c r="H73" s="309"/>
      <c r="I73" s="309"/>
      <c r="J73" s="236"/>
      <c r="K73" s="230"/>
      <c r="L73" s="230"/>
      <c r="M73" s="222"/>
      <c r="N73" s="222"/>
      <c r="O73" s="222"/>
      <c r="P73" s="222"/>
      <c r="Q73" s="222"/>
      <c r="R73" s="222"/>
      <c r="S73" s="222"/>
      <c r="T73" s="222"/>
      <c r="U73" s="222"/>
      <c r="V73" s="222"/>
    </row>
    <row r="74" spans="1:22">
      <c r="A74" s="285" t="s">
        <v>532</v>
      </c>
      <c r="B74" s="238" t="s">
        <v>567</v>
      </c>
      <c r="C74" s="239"/>
      <c r="D74" s="309"/>
      <c r="E74" s="309"/>
      <c r="F74" s="310">
        <v>10800000</v>
      </c>
      <c r="G74" s="309"/>
      <c r="H74" s="309"/>
      <c r="I74" s="309"/>
      <c r="J74" s="236"/>
      <c r="K74" s="230"/>
      <c r="L74" s="230"/>
      <c r="M74" s="222"/>
      <c r="N74" s="222"/>
      <c r="O74" s="222"/>
      <c r="P74" s="222"/>
      <c r="Q74" s="222"/>
      <c r="R74" s="222"/>
      <c r="S74" s="222"/>
      <c r="T74" s="222"/>
      <c r="U74" s="222"/>
      <c r="V74" s="222"/>
    </row>
    <row r="75" spans="1:22">
      <c r="A75" s="258" t="s">
        <v>334</v>
      </c>
      <c r="B75" s="238"/>
      <c r="C75" s="239">
        <v>0</v>
      </c>
      <c r="D75" s="309">
        <v>500000</v>
      </c>
      <c r="E75" s="309">
        <f>+D75</f>
        <v>500000</v>
      </c>
      <c r="F75" s="310">
        <v>0</v>
      </c>
      <c r="G75" s="309"/>
      <c r="H75" s="309"/>
      <c r="I75" s="309"/>
      <c r="J75" s="236"/>
      <c r="K75" s="230"/>
      <c r="L75" s="230"/>
      <c r="M75" s="222"/>
      <c r="N75" s="222"/>
      <c r="O75" s="222"/>
      <c r="P75" s="222"/>
      <c r="Q75" s="222"/>
      <c r="R75" s="222"/>
      <c r="S75" s="222"/>
      <c r="T75" s="222"/>
      <c r="U75" s="222"/>
      <c r="V75" s="222"/>
    </row>
    <row r="76" spans="1:22">
      <c r="A76" s="311"/>
      <c r="B76" s="243"/>
      <c r="C76" s="312">
        <f>SUM(C69:C75)</f>
        <v>634784.80000000005</v>
      </c>
      <c r="D76" s="312">
        <f t="shared" ref="D76:J76" si="4">SUM(D69:D75)</f>
        <v>2050000</v>
      </c>
      <c r="E76" s="312">
        <f t="shared" si="4"/>
        <v>2000000</v>
      </c>
      <c r="F76" s="313">
        <f t="shared" si="4"/>
        <v>12480000</v>
      </c>
      <c r="G76" s="312">
        <f t="shared" si="4"/>
        <v>3150000</v>
      </c>
      <c r="H76" s="312">
        <f t="shared" si="4"/>
        <v>3000000</v>
      </c>
      <c r="I76" s="312">
        <f t="shared" si="4"/>
        <v>3000000</v>
      </c>
      <c r="J76" s="312">
        <f t="shared" si="4"/>
        <v>0</v>
      </c>
      <c r="K76" s="230"/>
      <c r="L76" s="230"/>
      <c r="M76" s="222"/>
      <c r="N76" s="222"/>
      <c r="O76" s="222"/>
      <c r="P76" s="222"/>
      <c r="Q76" s="222"/>
      <c r="R76" s="222"/>
      <c r="S76" s="222"/>
      <c r="T76" s="222"/>
      <c r="U76" s="222"/>
      <c r="V76" s="222"/>
    </row>
    <row r="77" spans="1:22">
      <c r="A77" s="297"/>
      <c r="B77" s="243"/>
      <c r="C77" s="243"/>
      <c r="D77" s="234"/>
      <c r="E77" s="234"/>
      <c r="F77" s="235"/>
      <c r="G77" s="234"/>
      <c r="H77" s="234"/>
      <c r="I77" s="234"/>
      <c r="J77" s="234"/>
      <c r="K77" s="230"/>
      <c r="L77" s="230"/>
      <c r="M77" s="222"/>
      <c r="N77" s="222"/>
      <c r="O77" s="222"/>
      <c r="P77" s="222"/>
      <c r="Q77" s="222"/>
      <c r="R77" s="222"/>
      <c r="S77" s="222"/>
      <c r="T77" s="222"/>
      <c r="U77" s="222"/>
      <c r="V77" s="222"/>
    </row>
    <row r="78" spans="1:22">
      <c r="A78" s="247"/>
      <c r="B78" s="243"/>
      <c r="C78" s="255"/>
      <c r="D78" s="255"/>
      <c r="E78" s="255"/>
      <c r="F78" s="314"/>
      <c r="G78" s="255"/>
      <c r="H78" s="255"/>
      <c r="I78" s="255"/>
      <c r="J78" s="255"/>
      <c r="K78" s="230"/>
      <c r="L78" s="230"/>
      <c r="M78" s="222"/>
      <c r="N78" s="222"/>
      <c r="O78" s="222"/>
      <c r="P78" s="222"/>
      <c r="Q78" s="222"/>
      <c r="R78" s="222"/>
      <c r="S78" s="222"/>
      <c r="T78" s="222"/>
      <c r="U78" s="222"/>
      <c r="V78" s="222"/>
    </row>
    <row r="79" spans="1:22">
      <c r="A79" s="284" t="s">
        <v>288</v>
      </c>
      <c r="B79" s="238"/>
      <c r="C79" s="226" t="s">
        <v>14</v>
      </c>
      <c r="D79" s="226" t="s">
        <v>14</v>
      </c>
      <c r="E79" s="226" t="s">
        <v>14</v>
      </c>
      <c r="F79" s="227" t="s">
        <v>15</v>
      </c>
      <c r="G79" s="226" t="s">
        <v>272</v>
      </c>
      <c r="H79" s="226" t="s">
        <v>285</v>
      </c>
      <c r="I79" s="226" t="s">
        <v>318</v>
      </c>
      <c r="J79" s="229" t="s">
        <v>511</v>
      </c>
      <c r="K79" s="230"/>
      <c r="L79" s="230"/>
      <c r="M79" s="222"/>
      <c r="N79" s="222"/>
      <c r="O79" s="222"/>
      <c r="P79" s="222"/>
      <c r="Q79" s="222"/>
      <c r="R79" s="222"/>
      <c r="S79" s="222"/>
      <c r="T79" s="222"/>
      <c r="U79" s="222"/>
      <c r="V79" s="222"/>
    </row>
    <row r="80" spans="1:22">
      <c r="A80" s="306" t="s">
        <v>288</v>
      </c>
      <c r="B80" s="238" t="s">
        <v>288</v>
      </c>
      <c r="C80" s="301">
        <v>4887096</v>
      </c>
      <c r="D80" s="301">
        <v>14188000</v>
      </c>
      <c r="E80" s="301">
        <v>14188000</v>
      </c>
      <c r="F80" s="310">
        <v>12518000</v>
      </c>
      <c r="G80" s="309"/>
      <c r="H80" s="309">
        <v>0</v>
      </c>
      <c r="I80" s="309">
        <v>0</v>
      </c>
      <c r="J80" s="236"/>
      <c r="K80" s="230"/>
      <c r="L80" s="230"/>
      <c r="M80" s="222"/>
      <c r="N80" s="222"/>
      <c r="O80" s="222"/>
      <c r="P80" s="222"/>
      <c r="Q80" s="222"/>
      <c r="R80" s="222"/>
      <c r="S80" s="222"/>
      <c r="T80" s="222"/>
      <c r="U80" s="222"/>
      <c r="V80" s="222"/>
    </row>
    <row r="81" spans="1:32">
      <c r="A81" s="315"/>
      <c r="B81" s="232"/>
      <c r="C81" s="304">
        <f t="shared" ref="C81:J81" si="5">SUM(C80:C80)</f>
        <v>4887096</v>
      </c>
      <c r="D81" s="304">
        <f t="shared" si="5"/>
        <v>14188000</v>
      </c>
      <c r="E81" s="304">
        <f t="shared" si="5"/>
        <v>14188000</v>
      </c>
      <c r="F81" s="305">
        <f t="shared" si="5"/>
        <v>12518000</v>
      </c>
      <c r="G81" s="304">
        <f t="shared" si="5"/>
        <v>0</v>
      </c>
      <c r="H81" s="304">
        <f t="shared" si="5"/>
        <v>0</v>
      </c>
      <c r="I81" s="304">
        <f t="shared" si="5"/>
        <v>0</v>
      </c>
      <c r="J81" s="304">
        <f t="shared" si="5"/>
        <v>0</v>
      </c>
      <c r="K81" s="230"/>
      <c r="L81" s="230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55"/>
      <c r="X81" s="255"/>
      <c r="Y81" s="255"/>
      <c r="Z81" s="255"/>
      <c r="AA81" s="255"/>
      <c r="AB81" s="255"/>
      <c r="AC81" s="255"/>
      <c r="AD81" s="255"/>
      <c r="AE81" s="255"/>
      <c r="AF81" s="255"/>
    </row>
    <row r="82" spans="1:32">
      <c r="A82" s="315"/>
      <c r="B82" s="232"/>
      <c r="C82" s="316"/>
      <c r="D82" s="317"/>
      <c r="E82" s="318"/>
      <c r="F82" s="269"/>
      <c r="G82" s="318"/>
      <c r="H82" s="319"/>
      <c r="I82" s="318"/>
      <c r="J82" s="234"/>
      <c r="K82" s="230"/>
      <c r="L82" s="230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55"/>
      <c r="X82" s="255"/>
      <c r="Y82" s="255"/>
      <c r="Z82" s="255"/>
      <c r="AA82" s="255"/>
      <c r="AB82" s="255"/>
      <c r="AC82" s="255"/>
      <c r="AD82" s="255"/>
      <c r="AE82" s="255"/>
      <c r="AF82" s="255"/>
    </row>
    <row r="83" spans="1:32">
      <c r="A83" s="311"/>
      <c r="B83" s="232"/>
      <c r="C83" s="232"/>
      <c r="D83" s="283"/>
      <c r="E83" s="233"/>
      <c r="F83" s="235"/>
      <c r="G83" s="233"/>
      <c r="H83" s="320"/>
      <c r="I83" s="233"/>
      <c r="J83" s="270"/>
      <c r="K83" s="230"/>
      <c r="L83" s="230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55"/>
      <c r="X83" s="255"/>
      <c r="Y83" s="255"/>
      <c r="Z83" s="255"/>
      <c r="AA83" s="255"/>
      <c r="AB83" s="255"/>
      <c r="AC83" s="255"/>
      <c r="AD83" s="255"/>
      <c r="AE83" s="255"/>
      <c r="AF83" s="255"/>
    </row>
    <row r="84" spans="1:32">
      <c r="A84" s="284" t="s">
        <v>274</v>
      </c>
      <c r="B84" s="238"/>
      <c r="C84" s="226" t="s">
        <v>14</v>
      </c>
      <c r="D84" s="226" t="s">
        <v>14</v>
      </c>
      <c r="E84" s="226" t="s">
        <v>14</v>
      </c>
      <c r="F84" s="227" t="s">
        <v>15</v>
      </c>
      <c r="G84" s="226" t="s">
        <v>272</v>
      </c>
      <c r="H84" s="226" t="s">
        <v>285</v>
      </c>
      <c r="I84" s="226" t="s">
        <v>318</v>
      </c>
      <c r="J84" s="229" t="s">
        <v>511</v>
      </c>
      <c r="K84" s="230"/>
      <c r="L84" s="230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55"/>
      <c r="X84" s="255"/>
      <c r="Y84" s="255"/>
      <c r="Z84" s="255"/>
      <c r="AA84" s="255"/>
      <c r="AB84" s="255"/>
      <c r="AC84" s="255"/>
      <c r="AD84" s="255"/>
      <c r="AE84" s="255"/>
      <c r="AF84" s="255"/>
    </row>
    <row r="85" spans="1:32">
      <c r="A85" s="306" t="s">
        <v>476</v>
      </c>
      <c r="B85" s="238"/>
      <c r="C85" s="239">
        <v>0</v>
      </c>
      <c r="D85" s="309">
        <v>956683</v>
      </c>
      <c r="E85" s="309">
        <f>+D85</f>
        <v>956683</v>
      </c>
      <c r="F85" s="310">
        <v>0</v>
      </c>
      <c r="G85" s="309"/>
      <c r="H85" s="309">
        <v>0</v>
      </c>
      <c r="I85" s="309">
        <v>0</v>
      </c>
      <c r="J85" s="236"/>
      <c r="K85" s="230"/>
      <c r="L85" s="230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55"/>
      <c r="X85" s="255"/>
      <c r="Y85" s="255"/>
      <c r="Z85" s="255"/>
      <c r="AA85" s="255"/>
      <c r="AB85" s="255"/>
      <c r="AC85" s="255"/>
      <c r="AD85" s="255"/>
      <c r="AE85" s="255"/>
      <c r="AF85" s="255"/>
    </row>
    <row r="86" spans="1:32">
      <c r="A86" s="258" t="s">
        <v>337</v>
      </c>
      <c r="B86" s="238" t="s">
        <v>274</v>
      </c>
      <c r="C86" s="239">
        <v>0</v>
      </c>
      <c r="D86" s="309">
        <v>15640290</v>
      </c>
      <c r="E86" s="309">
        <f>+D86/2</f>
        <v>7820145</v>
      </c>
      <c r="F86" s="310">
        <v>2000000</v>
      </c>
      <c r="G86" s="309"/>
      <c r="H86" s="309"/>
      <c r="I86" s="309"/>
      <c r="J86" s="236"/>
      <c r="K86" s="230"/>
      <c r="L86" s="230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321"/>
      <c r="X86" s="321"/>
      <c r="Y86" s="321"/>
      <c r="Z86" s="321"/>
      <c r="AA86" s="321"/>
      <c r="AB86" s="321"/>
      <c r="AC86" s="321"/>
      <c r="AD86" s="321"/>
      <c r="AE86" s="321"/>
      <c r="AF86" s="321"/>
    </row>
    <row r="87" spans="1:32">
      <c r="A87" s="315"/>
      <c r="B87" s="232"/>
      <c r="C87" s="304">
        <f>SUM(C85:C86)</f>
        <v>0</v>
      </c>
      <c r="D87" s="304">
        <f t="shared" ref="D87:J87" si="6">SUM(D85:D86)</f>
        <v>16596973</v>
      </c>
      <c r="E87" s="304">
        <f t="shared" si="6"/>
        <v>8776828</v>
      </c>
      <c r="F87" s="305">
        <f t="shared" si="6"/>
        <v>2000000</v>
      </c>
      <c r="G87" s="304">
        <f t="shared" si="6"/>
        <v>0</v>
      </c>
      <c r="H87" s="304">
        <f t="shared" si="6"/>
        <v>0</v>
      </c>
      <c r="I87" s="304">
        <f t="shared" si="6"/>
        <v>0</v>
      </c>
      <c r="J87" s="304">
        <f t="shared" si="6"/>
        <v>0</v>
      </c>
      <c r="K87" s="230"/>
      <c r="L87" s="230"/>
      <c r="M87" s="222"/>
      <c r="N87" s="222"/>
      <c r="O87" s="222"/>
      <c r="P87" s="222"/>
      <c r="Q87" s="222"/>
      <c r="R87" s="222"/>
      <c r="S87" s="222"/>
      <c r="T87" s="222"/>
      <c r="U87" s="222"/>
      <c r="V87" s="222"/>
    </row>
    <row r="88" spans="1:32">
      <c r="A88" s="315"/>
      <c r="B88" s="232"/>
      <c r="C88" s="316"/>
      <c r="D88" s="317"/>
      <c r="E88" s="318"/>
      <c r="F88" s="269"/>
      <c r="G88" s="318"/>
      <c r="H88" s="319"/>
      <c r="I88" s="318"/>
      <c r="J88" s="234"/>
      <c r="K88" s="230"/>
      <c r="L88" s="230"/>
      <c r="M88" s="222"/>
      <c r="N88" s="222"/>
      <c r="O88" s="222"/>
      <c r="P88" s="222"/>
      <c r="Q88" s="222"/>
      <c r="R88" s="222"/>
      <c r="S88" s="222"/>
      <c r="T88" s="222"/>
      <c r="U88" s="222"/>
      <c r="V88" s="222"/>
    </row>
    <row r="89" spans="1:32">
      <c r="A89" s="311"/>
      <c r="B89" s="232"/>
      <c r="C89" s="232"/>
      <c r="D89" s="283"/>
      <c r="E89" s="233"/>
      <c r="F89" s="235"/>
      <c r="G89" s="233"/>
      <c r="H89" s="320"/>
      <c r="I89" s="233"/>
      <c r="J89" s="270"/>
      <c r="K89" s="230"/>
      <c r="L89" s="230"/>
      <c r="M89" s="222"/>
      <c r="N89" s="222"/>
      <c r="O89" s="222"/>
      <c r="P89" s="222"/>
      <c r="Q89" s="222"/>
      <c r="R89" s="222"/>
      <c r="S89" s="222"/>
      <c r="T89" s="222"/>
      <c r="U89" s="222"/>
      <c r="V89" s="222"/>
    </row>
    <row r="90" spans="1:32">
      <c r="A90" s="284" t="s">
        <v>474</v>
      </c>
      <c r="B90" s="238"/>
      <c r="C90" s="226" t="s">
        <v>14</v>
      </c>
      <c r="D90" s="226" t="s">
        <v>14</v>
      </c>
      <c r="E90" s="226" t="s">
        <v>14</v>
      </c>
      <c r="F90" s="227" t="s">
        <v>15</v>
      </c>
      <c r="G90" s="226" t="s">
        <v>272</v>
      </c>
      <c r="H90" s="226" t="s">
        <v>285</v>
      </c>
      <c r="I90" s="226" t="s">
        <v>318</v>
      </c>
      <c r="J90" s="229" t="s">
        <v>511</v>
      </c>
      <c r="K90" s="230"/>
      <c r="L90" s="230"/>
      <c r="M90" s="222"/>
      <c r="N90" s="222"/>
      <c r="O90" s="222"/>
      <c r="P90" s="222"/>
      <c r="Q90" s="222"/>
      <c r="R90" s="222"/>
      <c r="S90" s="222"/>
      <c r="T90" s="222"/>
      <c r="U90" s="222"/>
      <c r="V90" s="222"/>
    </row>
    <row r="91" spans="1:32">
      <c r="A91" s="306" t="s">
        <v>486</v>
      </c>
      <c r="B91" s="238" t="s">
        <v>566</v>
      </c>
      <c r="C91" s="239">
        <v>0</v>
      </c>
      <c r="D91" s="309">
        <v>0</v>
      </c>
      <c r="E91" s="309">
        <v>6500000</v>
      </c>
      <c r="F91" s="310">
        <v>1950000</v>
      </c>
      <c r="G91" s="309"/>
      <c r="H91" s="309">
        <v>0</v>
      </c>
      <c r="I91" s="309">
        <v>0</v>
      </c>
      <c r="J91" s="236"/>
      <c r="K91" s="230"/>
      <c r="L91" s="230"/>
      <c r="M91" s="222"/>
      <c r="N91" s="222"/>
      <c r="O91" s="222"/>
      <c r="P91" s="222"/>
      <c r="Q91" s="222"/>
      <c r="R91" s="222"/>
      <c r="S91" s="222"/>
      <c r="T91" s="222"/>
      <c r="U91" s="222"/>
      <c r="V91" s="222"/>
    </row>
    <row r="92" spans="1:32">
      <c r="A92" s="306" t="s">
        <v>477</v>
      </c>
      <c r="B92" s="238" t="s">
        <v>566</v>
      </c>
      <c r="C92" s="239"/>
      <c r="D92" s="309"/>
      <c r="E92" s="309">
        <v>4000000</v>
      </c>
      <c r="F92" s="310">
        <v>1200000</v>
      </c>
      <c r="G92" s="309"/>
      <c r="H92" s="309"/>
      <c r="I92" s="309"/>
      <c r="J92" s="236"/>
      <c r="K92" s="230"/>
      <c r="L92" s="230"/>
      <c r="M92" s="222"/>
      <c r="N92" s="222"/>
      <c r="O92" s="222"/>
      <c r="P92" s="222"/>
      <c r="Q92" s="222"/>
      <c r="R92" s="222"/>
      <c r="S92" s="222"/>
      <c r="T92" s="222"/>
      <c r="U92" s="222"/>
      <c r="V92" s="222"/>
    </row>
    <row r="93" spans="1:32">
      <c r="A93" s="306" t="s">
        <v>562</v>
      </c>
      <c r="B93" s="238" t="s">
        <v>566</v>
      </c>
      <c r="C93" s="239"/>
      <c r="D93" s="309"/>
      <c r="E93" s="309"/>
      <c r="F93" s="310">
        <v>1500000</v>
      </c>
      <c r="G93" s="309"/>
      <c r="H93" s="309"/>
      <c r="I93" s="309"/>
      <c r="J93" s="236"/>
      <c r="K93" s="230"/>
      <c r="L93" s="230"/>
      <c r="M93" s="222"/>
      <c r="N93" s="222"/>
      <c r="O93" s="222"/>
      <c r="P93" s="222"/>
      <c r="Q93" s="222"/>
      <c r="R93" s="222"/>
      <c r="S93" s="222"/>
      <c r="T93" s="222"/>
      <c r="U93" s="222"/>
      <c r="V93" s="222"/>
    </row>
    <row r="94" spans="1:32">
      <c r="A94" s="258" t="s">
        <v>487</v>
      </c>
      <c r="B94" s="238" t="s">
        <v>566</v>
      </c>
      <c r="C94" s="239">
        <v>0</v>
      </c>
      <c r="D94" s="309">
        <v>0</v>
      </c>
      <c r="E94" s="309">
        <v>4500000</v>
      </c>
      <c r="F94" s="310">
        <v>1350000</v>
      </c>
      <c r="G94" s="309"/>
      <c r="H94" s="309"/>
      <c r="I94" s="309"/>
      <c r="J94" s="236"/>
      <c r="K94" s="230"/>
      <c r="L94" s="230"/>
      <c r="M94" s="222"/>
      <c r="N94" s="222"/>
      <c r="O94" s="222"/>
      <c r="P94" s="222"/>
      <c r="Q94" s="222"/>
      <c r="R94" s="222"/>
      <c r="S94" s="222"/>
      <c r="T94" s="222"/>
      <c r="U94" s="222"/>
      <c r="V94" s="222"/>
    </row>
    <row r="95" spans="1:32">
      <c r="B95" s="238"/>
      <c r="C95" s="304">
        <f>SUM(C91:C94)</f>
        <v>0</v>
      </c>
      <c r="D95" s="304">
        <f t="shared" ref="D95:J95" si="7">SUM(D91:D94)</f>
        <v>0</v>
      </c>
      <c r="E95" s="304">
        <f t="shared" si="7"/>
        <v>15000000</v>
      </c>
      <c r="F95" s="305">
        <f t="shared" si="7"/>
        <v>6000000</v>
      </c>
      <c r="G95" s="304">
        <f t="shared" si="7"/>
        <v>0</v>
      </c>
      <c r="H95" s="304">
        <f t="shared" si="7"/>
        <v>0</v>
      </c>
      <c r="I95" s="304">
        <f t="shared" si="7"/>
        <v>0</v>
      </c>
      <c r="J95" s="304">
        <f t="shared" si="7"/>
        <v>0</v>
      </c>
      <c r="K95" s="230"/>
      <c r="L95" s="230"/>
      <c r="M95" s="222"/>
      <c r="N95" s="222"/>
      <c r="O95" s="222"/>
      <c r="P95" s="222"/>
      <c r="Q95" s="222"/>
      <c r="R95" s="222"/>
      <c r="S95" s="222"/>
      <c r="T95" s="222"/>
      <c r="U95" s="222"/>
      <c r="V95" s="222"/>
    </row>
    <row r="96" spans="1:32">
      <c r="B96" s="243"/>
      <c r="C96" s="322"/>
      <c r="D96" s="322"/>
      <c r="E96" s="322"/>
      <c r="F96" s="323"/>
      <c r="G96" s="322"/>
      <c r="H96" s="322"/>
      <c r="I96" s="322"/>
      <c r="J96" s="322"/>
      <c r="K96" s="230"/>
      <c r="L96" s="230"/>
      <c r="M96" s="222"/>
      <c r="N96" s="222"/>
      <c r="O96" s="222"/>
      <c r="P96" s="222"/>
      <c r="Q96" s="222"/>
      <c r="R96" s="222"/>
      <c r="S96" s="222"/>
      <c r="T96" s="222"/>
      <c r="U96" s="222"/>
      <c r="V96" s="222"/>
    </row>
    <row r="97" spans="1:24">
      <c r="A97" s="223" t="s">
        <v>571</v>
      </c>
      <c r="B97" s="243"/>
      <c r="C97" s="322">
        <f>+C95+C87+C81+C76+C66+C55+C39+C29+C20+C13+CAPEX!C70</f>
        <v>7330679.3499999996</v>
      </c>
      <c r="D97" s="322">
        <f>+D95+D87+D81+D76+D66+D55+D39+D29+D20+D13+CAPEX!D70</f>
        <v>40489973</v>
      </c>
      <c r="E97" s="322">
        <f>+E95+E87+E81+E76+E66+E55+E39+E29+E20+E13+CAPEX!E70</f>
        <v>47287328</v>
      </c>
      <c r="F97" s="323">
        <f>+F95+F87+F81+F76+F66+F55+F39+F29+F20+F13+CAPEX!F70</f>
        <v>42218000</v>
      </c>
      <c r="G97" s="322">
        <f>+G95+G87+G81+G76+G66+G55+G39+G29+G20+G13+CAPEX!G70</f>
        <v>15645000</v>
      </c>
      <c r="H97" s="322">
        <f>+H95+H87+H81+H76+H66+H55+H39+H29+H20+H13+CAPEX!H70</f>
        <v>16600000</v>
      </c>
      <c r="I97" s="322">
        <f>+I95+I87+I81+I76+I66+I55+I39+I29+I20+I13+CAPEX!I70</f>
        <v>8660000</v>
      </c>
      <c r="J97" s="322">
        <f>+J95+J87+J81+J76+J66+J55+J39+J29+J20+J13+CAPEX!J70</f>
        <v>330000</v>
      </c>
      <c r="K97" s="322">
        <f>+K95+K87+K81+K76+K66+K55+K39+K29+K20+K13+CAPEX!K70</f>
        <v>0</v>
      </c>
      <c r="L97" s="230"/>
      <c r="M97" s="222"/>
      <c r="N97" s="222"/>
      <c r="O97" s="222"/>
      <c r="P97" s="222"/>
      <c r="Q97" s="222"/>
      <c r="R97" s="222"/>
      <c r="S97" s="222"/>
      <c r="T97" s="222"/>
      <c r="U97" s="222"/>
      <c r="V97" s="222"/>
    </row>
    <row r="98" spans="1:24">
      <c r="B98" s="243"/>
      <c r="C98" s="322"/>
      <c r="D98" s="322"/>
      <c r="E98" s="322"/>
      <c r="F98" s="323"/>
      <c r="G98" s="322"/>
      <c r="H98" s="322"/>
      <c r="I98" s="322"/>
      <c r="J98" s="322"/>
      <c r="K98" s="322"/>
      <c r="L98" s="230"/>
      <c r="M98" s="222"/>
      <c r="N98" s="222"/>
      <c r="O98" s="222"/>
      <c r="P98" s="222"/>
      <c r="Q98" s="222"/>
      <c r="R98" s="222"/>
      <c r="S98" s="222"/>
      <c r="T98" s="222"/>
      <c r="U98" s="222"/>
      <c r="V98" s="222"/>
    </row>
    <row r="99" spans="1:24">
      <c r="A99" s="324" t="s">
        <v>570</v>
      </c>
      <c r="B99" s="325"/>
      <c r="C99" s="326"/>
      <c r="D99" s="326"/>
      <c r="E99" s="326"/>
      <c r="F99" s="327"/>
      <c r="G99" s="326"/>
      <c r="H99" s="326"/>
      <c r="I99" s="326"/>
      <c r="J99" s="326"/>
      <c r="K99" s="230"/>
      <c r="L99" s="230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</row>
    <row r="100" spans="1:24">
      <c r="A100" s="222" t="s">
        <v>560</v>
      </c>
      <c r="B100" s="325"/>
      <c r="C100" s="326"/>
      <c r="D100" s="326"/>
      <c r="E100" s="326"/>
      <c r="F100" s="328">
        <f>+F95-F93</f>
        <v>4500000</v>
      </c>
      <c r="G100" s="326"/>
      <c r="H100" s="326"/>
      <c r="I100" s="326"/>
      <c r="J100" s="326"/>
      <c r="K100" s="230"/>
      <c r="L100" s="230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</row>
    <row r="101" spans="1:24">
      <c r="A101" s="329" t="s">
        <v>288</v>
      </c>
      <c r="B101" s="330"/>
      <c r="C101" s="330"/>
      <c r="D101" s="230"/>
      <c r="E101" s="230"/>
      <c r="F101" s="331">
        <f>+F81</f>
        <v>12518000</v>
      </c>
      <c r="G101" s="230"/>
      <c r="H101" s="230"/>
      <c r="I101" s="230"/>
      <c r="J101" s="230"/>
      <c r="K101" s="230"/>
      <c r="L101" s="230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</row>
    <row r="102" spans="1:24">
      <c r="A102" s="329" t="s">
        <v>313</v>
      </c>
      <c r="B102" s="330"/>
      <c r="C102" s="330"/>
      <c r="D102" s="230"/>
      <c r="E102" s="230"/>
      <c r="F102" s="331">
        <f>+F74</f>
        <v>10800000</v>
      </c>
      <c r="G102" s="230"/>
      <c r="H102" s="230"/>
      <c r="I102" s="230"/>
      <c r="J102" s="230"/>
      <c r="K102" s="230"/>
      <c r="L102" s="230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</row>
    <row r="103" spans="1:24">
      <c r="A103" s="222" t="s">
        <v>561</v>
      </c>
      <c r="B103" s="330"/>
      <c r="C103" s="330"/>
      <c r="D103" s="230"/>
      <c r="E103" s="230"/>
      <c r="F103" s="331">
        <f>6618850-450000</f>
        <v>6168850</v>
      </c>
      <c r="G103" s="230"/>
      <c r="H103" s="230"/>
      <c r="I103" s="230"/>
      <c r="J103" s="230"/>
      <c r="K103" s="230"/>
      <c r="L103" s="230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</row>
    <row r="104" spans="1:24">
      <c r="A104" s="222" t="s">
        <v>328</v>
      </c>
      <c r="B104" s="330"/>
      <c r="C104" s="330"/>
      <c r="D104" s="230"/>
      <c r="E104" s="230"/>
      <c r="F104" s="331">
        <v>115000</v>
      </c>
      <c r="G104" s="230"/>
      <c r="H104" s="230"/>
      <c r="I104" s="230"/>
      <c r="J104" s="230"/>
      <c r="K104" s="230"/>
      <c r="L104" s="230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</row>
    <row r="105" spans="1:24">
      <c r="A105" s="222" t="s">
        <v>565</v>
      </c>
      <c r="B105" s="330"/>
      <c r="C105" s="330"/>
      <c r="D105" s="230"/>
      <c r="E105" s="230"/>
      <c r="F105" s="331">
        <f>4027217+2088933</f>
        <v>6116150</v>
      </c>
      <c r="G105" s="230"/>
      <c r="H105" s="230"/>
      <c r="I105" s="230"/>
      <c r="J105" s="230"/>
      <c r="K105" s="230"/>
      <c r="L105" s="230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</row>
    <row r="106" spans="1:24">
      <c r="A106" s="222" t="s">
        <v>274</v>
      </c>
      <c r="B106" s="330"/>
      <c r="C106" s="330"/>
      <c r="D106" s="230"/>
      <c r="E106" s="230"/>
      <c r="F106" s="331">
        <f>+F87</f>
        <v>2000000</v>
      </c>
      <c r="G106" s="230"/>
      <c r="H106" s="230"/>
      <c r="I106" s="230"/>
      <c r="J106" s="230"/>
      <c r="K106" s="230"/>
      <c r="L106" s="230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</row>
    <row r="107" spans="1:24">
      <c r="A107" s="222"/>
      <c r="B107" s="330"/>
      <c r="C107" s="330"/>
      <c r="D107" s="230"/>
      <c r="E107" s="230"/>
      <c r="F107" s="331">
        <f>SUM(F100:F106)</f>
        <v>42218000</v>
      </c>
      <c r="G107" s="230"/>
      <c r="H107" s="230"/>
      <c r="I107" s="230"/>
      <c r="J107" s="230"/>
      <c r="K107" s="230"/>
      <c r="L107" s="230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</row>
    <row r="108" spans="1:24">
      <c r="A108" s="222" t="s">
        <v>572</v>
      </c>
      <c r="B108" s="330"/>
      <c r="C108" s="330"/>
      <c r="D108" s="230"/>
      <c r="E108" s="230"/>
      <c r="F108" s="331">
        <f>F97-F107</f>
        <v>0</v>
      </c>
      <c r="G108" s="230"/>
      <c r="H108" s="230"/>
      <c r="I108" s="230"/>
      <c r="J108" s="230"/>
      <c r="K108" s="230"/>
      <c r="L108" s="230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</row>
    <row r="109" spans="1:24">
      <c r="A109" s="222"/>
      <c r="B109" s="330"/>
      <c r="C109" s="330"/>
      <c r="D109" s="230"/>
      <c r="E109" s="230"/>
      <c r="F109" s="230"/>
      <c r="G109" s="230"/>
      <c r="H109" s="230"/>
      <c r="I109" s="230"/>
      <c r="J109" s="230"/>
      <c r="K109" s="230"/>
      <c r="L109" s="230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</row>
    <row r="110" spans="1:24">
      <c r="A110" s="222"/>
      <c r="B110" s="330"/>
      <c r="C110" s="330"/>
      <c r="D110" s="230"/>
      <c r="E110" s="230"/>
      <c r="F110" s="230"/>
      <c r="G110" s="230"/>
      <c r="H110" s="230"/>
      <c r="I110" s="230"/>
      <c r="J110" s="230"/>
      <c r="K110" s="230"/>
      <c r="L110" s="230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</row>
    <row r="111" spans="1:24">
      <c r="A111" s="222"/>
      <c r="B111" s="330"/>
      <c r="C111" s="330"/>
      <c r="D111" s="230"/>
      <c r="E111" s="230"/>
      <c r="F111" s="230"/>
      <c r="G111" s="230"/>
      <c r="H111" s="230"/>
      <c r="I111" s="230"/>
      <c r="J111" s="230"/>
      <c r="K111" s="230"/>
      <c r="L111" s="230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</row>
    <row r="112" spans="1:24">
      <c r="A112" s="222"/>
      <c r="B112" s="330"/>
      <c r="C112" s="330"/>
      <c r="D112" s="230"/>
      <c r="E112" s="230"/>
      <c r="F112" s="230"/>
      <c r="G112" s="230"/>
      <c r="H112" s="230"/>
      <c r="I112" s="230"/>
      <c r="J112" s="230"/>
      <c r="K112" s="230"/>
      <c r="L112" s="230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</row>
    <row r="113" spans="1:24">
      <c r="A113" s="222"/>
      <c r="B113" s="330"/>
      <c r="C113" s="330"/>
      <c r="D113" s="230"/>
      <c r="E113" s="230"/>
      <c r="F113" s="230"/>
      <c r="G113" s="230"/>
      <c r="H113" s="230"/>
      <c r="I113" s="230"/>
      <c r="J113" s="230"/>
      <c r="K113" s="230"/>
      <c r="L113" s="230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</row>
    <row r="114" spans="1:24">
      <c r="A114" s="222"/>
      <c r="B114" s="330"/>
      <c r="C114" s="330"/>
      <c r="D114" s="230"/>
      <c r="E114" s="230"/>
      <c r="F114" s="230"/>
      <c r="G114" s="230"/>
      <c r="H114" s="230"/>
      <c r="I114" s="230"/>
      <c r="J114" s="230"/>
      <c r="K114" s="230"/>
      <c r="L114" s="230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</row>
    <row r="115" spans="1:24">
      <c r="A115" s="222"/>
      <c r="B115" s="330"/>
      <c r="C115" s="330"/>
      <c r="D115" s="230"/>
      <c r="E115" s="230"/>
      <c r="F115" s="230"/>
      <c r="G115" s="230"/>
      <c r="H115" s="230"/>
      <c r="I115" s="230"/>
      <c r="J115" s="230"/>
      <c r="K115" s="230"/>
      <c r="L115" s="230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</row>
    <row r="116" spans="1:24">
      <c r="A116" s="222"/>
      <c r="B116" s="330"/>
      <c r="C116" s="3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</row>
    <row r="117" spans="1:24">
      <c r="A117" s="222"/>
      <c r="B117" s="330"/>
      <c r="C117" s="330"/>
      <c r="D117" s="230"/>
      <c r="E117" s="230"/>
      <c r="F117" s="230"/>
      <c r="G117" s="230"/>
      <c r="H117" s="230"/>
      <c r="I117" s="230"/>
      <c r="J117" s="230"/>
      <c r="K117" s="230"/>
      <c r="L117" s="230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</row>
    <row r="118" spans="1:24">
      <c r="A118" s="222"/>
      <c r="B118" s="330"/>
      <c r="C118" s="330"/>
      <c r="D118" s="230"/>
      <c r="E118" s="230"/>
      <c r="F118" s="230"/>
      <c r="G118" s="230"/>
      <c r="H118" s="230"/>
      <c r="I118" s="230"/>
      <c r="J118" s="230"/>
      <c r="K118" s="230"/>
      <c r="L118" s="230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</row>
    <row r="119" spans="1:24">
      <c r="A119" s="222"/>
      <c r="B119" s="330"/>
      <c r="C119" s="330"/>
      <c r="D119" s="230"/>
      <c r="E119" s="230"/>
      <c r="F119" s="230"/>
      <c r="G119" s="230"/>
      <c r="H119" s="230"/>
      <c r="I119" s="230"/>
      <c r="J119" s="230"/>
      <c r="K119" s="230"/>
      <c r="L119" s="230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</row>
    <row r="120" spans="1:24">
      <c r="A120" s="222"/>
      <c r="B120" s="330"/>
      <c r="C120" s="330"/>
      <c r="D120" s="230"/>
      <c r="E120" s="230"/>
      <c r="F120" s="230"/>
      <c r="G120" s="230"/>
      <c r="H120" s="230"/>
      <c r="I120" s="230"/>
      <c r="J120" s="230"/>
      <c r="K120" s="230"/>
      <c r="L120" s="230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</row>
    <row r="121" spans="1:24">
      <c r="A121" s="222"/>
      <c r="B121" s="330"/>
      <c r="C121" s="330"/>
      <c r="D121" s="230"/>
      <c r="E121" s="230"/>
      <c r="F121" s="230"/>
      <c r="G121" s="230"/>
      <c r="H121" s="230"/>
      <c r="I121" s="230"/>
      <c r="J121" s="230"/>
      <c r="K121" s="230"/>
      <c r="L121" s="230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</row>
    <row r="122" spans="1:24">
      <c r="A122" s="222"/>
      <c r="B122" s="330"/>
      <c r="C122" s="330"/>
      <c r="D122" s="230"/>
      <c r="E122" s="230"/>
      <c r="F122" s="230"/>
      <c r="G122" s="230"/>
      <c r="H122" s="230"/>
      <c r="I122" s="230"/>
      <c r="J122" s="230"/>
      <c r="K122" s="230"/>
      <c r="L122" s="230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</row>
    <row r="123" spans="1:24">
      <c r="A123" s="222"/>
      <c r="B123" s="330"/>
      <c r="C123" s="330"/>
      <c r="D123" s="230"/>
      <c r="E123" s="230"/>
      <c r="F123" s="230"/>
      <c r="G123" s="230"/>
      <c r="H123" s="230"/>
      <c r="I123" s="230"/>
      <c r="J123" s="230"/>
      <c r="K123" s="230"/>
      <c r="L123" s="230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</row>
    <row r="124" spans="1:24">
      <c r="A124" s="222"/>
      <c r="B124" s="330"/>
      <c r="C124" s="330"/>
      <c r="D124" s="230"/>
      <c r="E124" s="230"/>
      <c r="F124" s="230"/>
      <c r="G124" s="230"/>
      <c r="H124" s="230"/>
      <c r="I124" s="230"/>
      <c r="J124" s="230"/>
      <c r="K124" s="230"/>
      <c r="L124" s="230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</row>
    <row r="125" spans="1:24">
      <c r="A125" s="222"/>
      <c r="B125" s="330"/>
      <c r="C125" s="330"/>
      <c r="D125" s="230"/>
      <c r="E125" s="230"/>
      <c r="F125" s="230"/>
      <c r="G125" s="230"/>
      <c r="H125" s="230"/>
      <c r="I125" s="230"/>
      <c r="J125" s="230"/>
      <c r="K125" s="230"/>
      <c r="L125" s="230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</row>
    <row r="126" spans="1:24">
      <c r="A126" s="222"/>
      <c r="B126" s="330"/>
      <c r="C126" s="330"/>
      <c r="D126" s="230"/>
      <c r="E126" s="230"/>
      <c r="F126" s="230"/>
      <c r="G126" s="230"/>
      <c r="H126" s="230"/>
      <c r="I126" s="230"/>
      <c r="J126" s="230"/>
      <c r="K126" s="230"/>
      <c r="L126" s="230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</row>
    <row r="127" spans="1:24">
      <c r="A127" s="222"/>
      <c r="B127" s="330"/>
      <c r="C127" s="330"/>
      <c r="D127" s="230"/>
      <c r="E127" s="230"/>
      <c r="F127" s="230"/>
      <c r="G127" s="230"/>
      <c r="H127" s="230"/>
      <c r="I127" s="230"/>
      <c r="J127" s="230"/>
      <c r="K127" s="230"/>
      <c r="L127" s="230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</row>
    <row r="128" spans="1:24">
      <c r="A128" s="222"/>
      <c r="B128" s="330"/>
      <c r="C128" s="3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</row>
    <row r="129" spans="1:24">
      <c r="A129" s="222"/>
      <c r="B129" s="330"/>
      <c r="C129" s="330"/>
      <c r="D129" s="230"/>
      <c r="E129" s="230"/>
      <c r="F129" s="230"/>
      <c r="G129" s="230"/>
      <c r="H129" s="230"/>
      <c r="I129" s="230"/>
      <c r="J129" s="230"/>
      <c r="K129" s="230"/>
      <c r="L129" s="230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</row>
    <row r="130" spans="1:24">
      <c r="A130" s="222"/>
      <c r="B130" s="330"/>
      <c r="C130" s="330"/>
      <c r="D130" s="230"/>
      <c r="E130" s="230"/>
      <c r="F130" s="230"/>
      <c r="G130" s="230"/>
      <c r="H130" s="230"/>
      <c r="I130" s="230"/>
      <c r="J130" s="230"/>
      <c r="K130" s="230"/>
      <c r="L130" s="230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</row>
    <row r="131" spans="1:24">
      <c r="A131" s="222"/>
      <c r="B131" s="222"/>
      <c r="C131" s="222"/>
      <c r="D131" s="230"/>
      <c r="E131" s="230"/>
      <c r="F131" s="230"/>
      <c r="G131" s="230"/>
      <c r="H131" s="230"/>
      <c r="I131" s="230"/>
      <c r="J131" s="230"/>
      <c r="K131" s="230"/>
      <c r="L131" s="230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</row>
    <row r="132" spans="1:24">
      <c r="A132" s="222"/>
      <c r="B132" s="222"/>
      <c r="C132" s="222"/>
      <c r="D132" s="230"/>
      <c r="E132" s="230"/>
      <c r="F132" s="230"/>
      <c r="G132" s="230"/>
      <c r="H132" s="230"/>
      <c r="I132" s="230"/>
      <c r="J132" s="230"/>
      <c r="K132" s="230"/>
      <c r="L132" s="230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</row>
    <row r="133" spans="1:24">
      <c r="A133" s="222"/>
      <c r="B133" s="222"/>
      <c r="C133" s="222"/>
      <c r="D133" s="230"/>
      <c r="E133" s="230"/>
      <c r="F133" s="230"/>
      <c r="G133" s="230"/>
      <c r="H133" s="230"/>
      <c r="I133" s="230"/>
      <c r="J133" s="230"/>
      <c r="K133" s="230"/>
      <c r="L133" s="230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</row>
    <row r="134" spans="1:24">
      <c r="A134" s="222"/>
      <c r="B134" s="222"/>
      <c r="C134" s="222"/>
      <c r="D134" s="230"/>
      <c r="E134" s="230"/>
      <c r="F134" s="230"/>
      <c r="G134" s="230"/>
      <c r="H134" s="230"/>
      <c r="I134" s="230"/>
      <c r="J134" s="230"/>
      <c r="K134" s="230"/>
      <c r="L134" s="230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</row>
    <row r="135" spans="1:24">
      <c r="A135" s="222"/>
      <c r="B135" s="222"/>
      <c r="C135" s="222"/>
      <c r="D135" s="230"/>
      <c r="E135" s="230"/>
      <c r="F135" s="230"/>
      <c r="G135" s="230"/>
      <c r="H135" s="230"/>
      <c r="I135" s="230"/>
      <c r="J135" s="230"/>
      <c r="K135" s="230"/>
      <c r="L135" s="230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</row>
    <row r="136" spans="1:24">
      <c r="A136" s="222"/>
      <c r="B136" s="222"/>
      <c r="C136" s="222"/>
      <c r="D136" s="230"/>
      <c r="E136" s="230"/>
      <c r="F136" s="230"/>
      <c r="G136" s="230"/>
      <c r="H136" s="230"/>
      <c r="I136" s="230"/>
      <c r="J136" s="230"/>
      <c r="K136" s="230"/>
      <c r="L136" s="230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</row>
    <row r="137" spans="1:24">
      <c r="A137" s="222"/>
      <c r="B137" s="222"/>
      <c r="C137" s="222"/>
      <c r="D137" s="230"/>
      <c r="E137" s="230"/>
      <c r="F137" s="230"/>
      <c r="G137" s="230"/>
      <c r="H137" s="230"/>
      <c r="I137" s="230"/>
      <c r="J137" s="230"/>
      <c r="K137" s="230"/>
      <c r="L137" s="230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</row>
    <row r="138" spans="1:24">
      <c r="A138" s="222"/>
      <c r="B138" s="222"/>
      <c r="C138" s="222"/>
      <c r="D138" s="230"/>
      <c r="E138" s="230"/>
      <c r="F138" s="230"/>
      <c r="G138" s="230"/>
      <c r="H138" s="230"/>
      <c r="I138" s="230"/>
      <c r="J138" s="230"/>
      <c r="K138" s="230"/>
      <c r="L138" s="230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</row>
    <row r="139" spans="1:24">
      <c r="A139" s="222"/>
      <c r="B139" s="222"/>
      <c r="C139" s="222"/>
      <c r="D139" s="230"/>
      <c r="E139" s="230"/>
      <c r="F139" s="230"/>
      <c r="G139" s="230"/>
      <c r="H139" s="230"/>
      <c r="I139" s="230"/>
      <c r="J139" s="230"/>
      <c r="K139" s="230"/>
      <c r="L139" s="230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</row>
    <row r="140" spans="1:24">
      <c r="A140" s="222"/>
      <c r="B140" s="222"/>
      <c r="C140" s="222"/>
      <c r="D140" s="230"/>
      <c r="E140" s="230"/>
      <c r="F140" s="230"/>
      <c r="G140" s="230"/>
      <c r="H140" s="230"/>
      <c r="I140" s="230"/>
      <c r="J140" s="230"/>
      <c r="K140" s="230"/>
      <c r="L140" s="230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</row>
    <row r="141" spans="1:24">
      <c r="A141" s="222"/>
      <c r="B141" s="222"/>
      <c r="C141" s="222"/>
      <c r="D141" s="230"/>
      <c r="E141" s="230"/>
      <c r="F141" s="230"/>
      <c r="G141" s="230"/>
      <c r="H141" s="230"/>
      <c r="I141" s="230"/>
      <c r="J141" s="230"/>
      <c r="K141" s="230"/>
      <c r="L141" s="230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</row>
    <row r="142" spans="1:24">
      <c r="A142" s="222"/>
      <c r="B142" s="222"/>
      <c r="C142" s="222"/>
      <c r="D142" s="230"/>
      <c r="E142" s="230"/>
      <c r="F142" s="230"/>
      <c r="G142" s="230"/>
      <c r="H142" s="230"/>
      <c r="I142" s="230"/>
      <c r="J142" s="230"/>
      <c r="K142" s="230"/>
      <c r="L142" s="230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</row>
    <row r="143" spans="1:24">
      <c r="A143" s="222"/>
      <c r="B143" s="222"/>
      <c r="C143" s="222"/>
      <c r="D143" s="230"/>
      <c r="E143" s="230"/>
      <c r="F143" s="230"/>
      <c r="G143" s="230"/>
      <c r="H143" s="230"/>
      <c r="I143" s="230"/>
      <c r="J143" s="230"/>
      <c r="K143" s="230"/>
      <c r="L143" s="230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</row>
    <row r="144" spans="1:24">
      <c r="A144" s="222"/>
      <c r="B144" s="222"/>
      <c r="C144" s="222"/>
      <c r="D144" s="230"/>
      <c r="E144" s="230"/>
      <c r="F144" s="230"/>
      <c r="G144" s="230"/>
      <c r="H144" s="230"/>
      <c r="I144" s="230"/>
      <c r="J144" s="230"/>
      <c r="K144" s="230"/>
      <c r="L144" s="230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</row>
    <row r="145" spans="1:24">
      <c r="A145" s="222"/>
      <c r="B145" s="222"/>
      <c r="C145" s="222"/>
      <c r="D145" s="230"/>
      <c r="E145" s="230"/>
      <c r="F145" s="230"/>
      <c r="G145" s="230"/>
      <c r="H145" s="230"/>
      <c r="I145" s="230"/>
      <c r="J145" s="230"/>
      <c r="K145" s="230"/>
      <c r="L145" s="230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</row>
    <row r="146" spans="1:24">
      <c r="A146" s="222"/>
      <c r="B146" s="222"/>
      <c r="C146" s="222"/>
      <c r="D146" s="230"/>
      <c r="E146" s="230"/>
      <c r="F146" s="230"/>
      <c r="G146" s="230"/>
      <c r="H146" s="230"/>
      <c r="I146" s="230"/>
      <c r="J146" s="230"/>
      <c r="K146" s="230"/>
      <c r="L146" s="230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</row>
    <row r="147" spans="1:24">
      <c r="A147" s="222"/>
      <c r="B147" s="222"/>
      <c r="C147" s="222"/>
      <c r="D147" s="230"/>
      <c r="E147" s="230"/>
      <c r="F147" s="230"/>
      <c r="G147" s="230"/>
      <c r="H147" s="230"/>
      <c r="I147" s="230"/>
      <c r="J147" s="230"/>
      <c r="K147" s="230"/>
      <c r="L147" s="230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</row>
    <row r="148" spans="1:24">
      <c r="A148" s="222"/>
      <c r="B148" s="222"/>
      <c r="C148" s="222"/>
      <c r="D148" s="230"/>
      <c r="E148" s="230"/>
      <c r="F148" s="230"/>
      <c r="G148" s="230"/>
      <c r="H148" s="230"/>
      <c r="I148" s="230"/>
      <c r="J148" s="230"/>
      <c r="K148" s="230"/>
      <c r="L148" s="230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</row>
    <row r="149" spans="1:24">
      <c r="A149" s="222"/>
      <c r="B149" s="222"/>
      <c r="C149" s="222"/>
      <c r="D149" s="230"/>
      <c r="E149" s="230"/>
      <c r="F149" s="230"/>
      <c r="G149" s="230"/>
      <c r="H149" s="230"/>
      <c r="I149" s="230"/>
      <c r="J149" s="230"/>
      <c r="K149" s="230"/>
      <c r="L149" s="230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</row>
    <row r="150" spans="1:24">
      <c r="A150" s="222"/>
      <c r="B150" s="222"/>
      <c r="C150" s="222"/>
      <c r="D150" s="230"/>
      <c r="E150" s="230"/>
      <c r="F150" s="230"/>
      <c r="G150" s="230"/>
      <c r="H150" s="230"/>
      <c r="I150" s="230"/>
      <c r="J150" s="230"/>
      <c r="K150" s="230"/>
      <c r="L150" s="230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</row>
    <row r="151" spans="1:24">
      <c r="A151" s="222"/>
      <c r="B151" s="222"/>
      <c r="C151" s="222"/>
      <c r="D151" s="230"/>
      <c r="E151" s="230"/>
      <c r="F151" s="230"/>
      <c r="G151" s="230"/>
      <c r="H151" s="230"/>
      <c r="I151" s="230"/>
      <c r="J151" s="230"/>
      <c r="K151" s="230"/>
      <c r="L151" s="230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</row>
    <row r="152" spans="1:24">
      <c r="A152" s="222"/>
      <c r="B152" s="222"/>
      <c r="C152" s="222"/>
      <c r="D152" s="230"/>
      <c r="E152" s="230"/>
      <c r="F152" s="230"/>
      <c r="G152" s="230"/>
      <c r="H152" s="230"/>
      <c r="I152" s="230"/>
      <c r="J152" s="230"/>
      <c r="K152" s="230"/>
      <c r="L152" s="230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</row>
    <row r="153" spans="1:24">
      <c r="A153" s="222"/>
      <c r="B153" s="222"/>
      <c r="C153" s="222"/>
      <c r="D153" s="230"/>
      <c r="E153" s="230"/>
      <c r="F153" s="230"/>
      <c r="G153" s="230"/>
      <c r="H153" s="230"/>
      <c r="I153" s="230"/>
      <c r="J153" s="230"/>
      <c r="K153" s="230"/>
      <c r="L153" s="230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</row>
    <row r="154" spans="1:24">
      <c r="A154" s="222"/>
      <c r="B154" s="222"/>
      <c r="C154" s="222"/>
      <c r="D154" s="230"/>
      <c r="E154" s="230"/>
      <c r="F154" s="230"/>
      <c r="G154" s="230"/>
      <c r="H154" s="230"/>
      <c r="I154" s="230"/>
      <c r="J154" s="230"/>
      <c r="K154" s="230"/>
      <c r="L154" s="230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</row>
    <row r="155" spans="1:24">
      <c r="A155" s="222"/>
      <c r="B155" s="222"/>
      <c r="C155" s="222"/>
      <c r="D155" s="230"/>
      <c r="E155" s="230"/>
      <c r="F155" s="230"/>
      <c r="G155" s="230"/>
      <c r="H155" s="230"/>
      <c r="I155" s="230"/>
      <c r="J155" s="230"/>
      <c r="K155" s="230"/>
      <c r="L155" s="230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</row>
    <row r="156" spans="1:24">
      <c r="A156" s="222"/>
      <c r="B156" s="222"/>
      <c r="C156" s="222"/>
      <c r="D156" s="230"/>
      <c r="E156" s="230"/>
      <c r="F156" s="230"/>
      <c r="G156" s="230"/>
      <c r="H156" s="230"/>
      <c r="I156" s="230"/>
      <c r="J156" s="230"/>
      <c r="K156" s="230"/>
      <c r="L156" s="230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</row>
    <row r="157" spans="1:24">
      <c r="A157" s="222"/>
      <c r="B157" s="222"/>
      <c r="C157" s="222"/>
      <c r="D157" s="230"/>
      <c r="E157" s="230"/>
      <c r="F157" s="230"/>
      <c r="G157" s="230"/>
      <c r="H157" s="230"/>
      <c r="I157" s="230"/>
      <c r="J157" s="230"/>
      <c r="K157" s="230"/>
      <c r="L157" s="230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</row>
    <row r="158" spans="1:24">
      <c r="A158" s="222"/>
      <c r="B158" s="222"/>
      <c r="C158" s="222"/>
      <c r="D158" s="230"/>
      <c r="E158" s="230"/>
      <c r="F158" s="230"/>
      <c r="G158" s="230"/>
      <c r="H158" s="230"/>
      <c r="I158" s="230"/>
      <c r="J158" s="230"/>
      <c r="K158" s="230"/>
      <c r="L158" s="230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</row>
    <row r="159" spans="1:24">
      <c r="A159" s="222"/>
      <c r="B159" s="222"/>
      <c r="C159" s="222"/>
      <c r="D159" s="230"/>
      <c r="E159" s="230"/>
      <c r="F159" s="230"/>
      <c r="G159" s="230"/>
      <c r="H159" s="230"/>
      <c r="I159" s="230"/>
      <c r="J159" s="230"/>
      <c r="K159" s="230"/>
      <c r="L159" s="230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</row>
    <row r="160" spans="1:24">
      <c r="A160" s="222"/>
      <c r="B160" s="222"/>
      <c r="C160" s="222"/>
      <c r="D160" s="230"/>
      <c r="E160" s="230"/>
      <c r="F160" s="230"/>
      <c r="G160" s="230"/>
      <c r="H160" s="230"/>
      <c r="I160" s="230"/>
      <c r="J160" s="230"/>
      <c r="K160" s="230"/>
      <c r="L160" s="230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</row>
    <row r="161" spans="1:24">
      <c r="A161" s="222"/>
      <c r="B161" s="222"/>
      <c r="C161" s="222"/>
      <c r="D161" s="230"/>
      <c r="E161" s="230"/>
      <c r="F161" s="230"/>
      <c r="G161" s="230"/>
      <c r="H161" s="230"/>
      <c r="I161" s="230"/>
      <c r="J161" s="230"/>
      <c r="K161" s="230"/>
      <c r="L161" s="230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</row>
    <row r="162" spans="1:24">
      <c r="A162" s="222"/>
      <c r="B162" s="222"/>
      <c r="C162" s="222"/>
      <c r="D162" s="230"/>
      <c r="E162" s="230"/>
      <c r="F162" s="230"/>
      <c r="G162" s="230"/>
      <c r="H162" s="230"/>
      <c r="I162" s="230"/>
      <c r="J162" s="230"/>
      <c r="K162" s="230"/>
      <c r="L162" s="230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</row>
    <row r="163" spans="1:24">
      <c r="A163" s="222"/>
      <c r="B163" s="222"/>
      <c r="C163" s="222"/>
      <c r="D163" s="230"/>
      <c r="E163" s="230"/>
      <c r="F163" s="230"/>
      <c r="G163" s="230"/>
      <c r="H163" s="230"/>
      <c r="I163" s="230"/>
      <c r="J163" s="230"/>
      <c r="K163" s="230"/>
      <c r="L163" s="230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</row>
    <row r="164" spans="1:24">
      <c r="A164" s="222"/>
      <c r="B164" s="222"/>
      <c r="C164" s="222"/>
      <c r="D164" s="230"/>
      <c r="E164" s="230"/>
      <c r="F164" s="230"/>
      <c r="G164" s="230"/>
      <c r="H164" s="230"/>
      <c r="I164" s="230"/>
      <c r="J164" s="230"/>
      <c r="K164" s="230"/>
      <c r="L164" s="230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</row>
    <row r="165" spans="1:24">
      <c r="A165" s="222"/>
      <c r="B165" s="222"/>
      <c r="C165" s="222"/>
      <c r="D165" s="230"/>
      <c r="E165" s="230"/>
      <c r="F165" s="230"/>
      <c r="G165" s="230"/>
      <c r="H165" s="230"/>
      <c r="I165" s="230"/>
      <c r="J165" s="230"/>
      <c r="K165" s="230"/>
      <c r="L165" s="230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</row>
    <row r="166" spans="1:24">
      <c r="A166" s="222"/>
      <c r="B166" s="222"/>
      <c r="C166" s="222"/>
      <c r="D166" s="230"/>
      <c r="E166" s="230"/>
      <c r="F166" s="230"/>
      <c r="G166" s="230"/>
      <c r="H166" s="230"/>
      <c r="I166" s="230"/>
      <c r="J166" s="230"/>
      <c r="K166" s="230"/>
      <c r="L166" s="230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</row>
    <row r="167" spans="1:24">
      <c r="A167" s="222"/>
      <c r="B167" s="222"/>
      <c r="C167" s="222"/>
      <c r="D167" s="230"/>
      <c r="E167" s="230"/>
      <c r="F167" s="230"/>
      <c r="G167" s="230"/>
      <c r="H167" s="230"/>
      <c r="I167" s="230"/>
      <c r="J167" s="230"/>
      <c r="K167" s="230"/>
      <c r="L167" s="230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</row>
    <row r="168" spans="1:24">
      <c r="A168" s="222"/>
      <c r="B168" s="222"/>
      <c r="C168" s="222"/>
      <c r="D168" s="230"/>
      <c r="E168" s="230"/>
      <c r="F168" s="230"/>
      <c r="G168" s="230"/>
      <c r="H168" s="230"/>
      <c r="I168" s="230"/>
      <c r="J168" s="230"/>
      <c r="K168" s="230"/>
      <c r="L168" s="230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</row>
    <row r="169" spans="1:24">
      <c r="A169" s="222"/>
      <c r="B169" s="222"/>
      <c r="C169" s="222"/>
      <c r="D169" s="230"/>
      <c r="E169" s="230"/>
      <c r="F169" s="230"/>
      <c r="G169" s="230"/>
      <c r="H169" s="230"/>
      <c r="I169" s="230"/>
      <c r="J169" s="230"/>
      <c r="K169" s="230"/>
      <c r="L169" s="230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</row>
    <row r="170" spans="1:24">
      <c r="A170" s="222"/>
      <c r="B170" s="222"/>
      <c r="C170" s="222"/>
      <c r="D170" s="230"/>
      <c r="E170" s="230"/>
      <c r="F170" s="230"/>
      <c r="G170" s="230"/>
      <c r="H170" s="230"/>
      <c r="I170" s="230"/>
      <c r="J170" s="230"/>
      <c r="K170" s="230"/>
      <c r="L170" s="230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</row>
    <row r="171" spans="1:24">
      <c r="A171" s="222"/>
      <c r="B171" s="222"/>
      <c r="C171" s="222"/>
      <c r="D171" s="230"/>
      <c r="E171" s="230"/>
      <c r="F171" s="230"/>
      <c r="G171" s="230"/>
      <c r="H171" s="230"/>
      <c r="I171" s="230"/>
      <c r="J171" s="230"/>
      <c r="K171" s="230"/>
      <c r="L171" s="230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</row>
    <row r="172" spans="1:24">
      <c r="A172" s="222"/>
      <c r="B172" s="222"/>
      <c r="C172" s="222"/>
      <c r="D172" s="230"/>
      <c r="E172" s="230"/>
      <c r="F172" s="230"/>
      <c r="G172" s="230"/>
      <c r="H172" s="230"/>
      <c r="I172" s="230"/>
      <c r="J172" s="230"/>
      <c r="K172" s="230"/>
      <c r="L172" s="230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</row>
    <row r="173" spans="1:24">
      <c r="A173" s="222"/>
      <c r="B173" s="222"/>
      <c r="C173" s="222"/>
      <c r="D173" s="230"/>
      <c r="E173" s="230"/>
      <c r="F173" s="230"/>
      <c r="G173" s="230"/>
      <c r="H173" s="230"/>
      <c r="I173" s="230"/>
      <c r="J173" s="230"/>
      <c r="K173" s="230"/>
      <c r="L173" s="230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</row>
    <row r="174" spans="1:24">
      <c r="A174" s="222"/>
      <c r="B174" s="222"/>
      <c r="C174" s="222"/>
      <c r="D174" s="230"/>
      <c r="E174" s="230"/>
      <c r="F174" s="230"/>
      <c r="G174" s="230"/>
      <c r="H174" s="230"/>
      <c r="I174" s="230"/>
      <c r="J174" s="230"/>
      <c r="K174" s="230"/>
      <c r="L174" s="230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</row>
    <row r="175" spans="1:24">
      <c r="A175" s="222"/>
      <c r="B175" s="222"/>
      <c r="C175" s="222"/>
      <c r="D175" s="230"/>
      <c r="E175" s="230"/>
      <c r="F175" s="230"/>
      <c r="G175" s="230"/>
      <c r="H175" s="230"/>
      <c r="I175" s="230"/>
      <c r="J175" s="230"/>
      <c r="K175" s="230"/>
      <c r="L175" s="230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</row>
    <row r="176" spans="1:24">
      <c r="A176" s="222"/>
      <c r="B176" s="222"/>
      <c r="C176" s="222"/>
      <c r="D176" s="230"/>
      <c r="E176" s="230"/>
      <c r="F176" s="230"/>
      <c r="G176" s="230"/>
      <c r="H176" s="230"/>
      <c r="I176" s="230"/>
      <c r="J176" s="230"/>
      <c r="K176" s="230"/>
      <c r="L176" s="230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</row>
    <row r="177" spans="1:24">
      <c r="A177" s="222"/>
      <c r="B177" s="222"/>
      <c r="C177" s="222"/>
      <c r="D177" s="230"/>
      <c r="E177" s="230"/>
      <c r="F177" s="230"/>
      <c r="G177" s="230"/>
      <c r="H177" s="230"/>
      <c r="I177" s="230"/>
      <c r="J177" s="230"/>
      <c r="K177" s="230"/>
      <c r="L177" s="230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</row>
    <row r="178" spans="1:24">
      <c r="A178" s="222"/>
      <c r="B178" s="222"/>
      <c r="C178" s="222"/>
      <c r="D178" s="230"/>
      <c r="E178" s="230"/>
      <c r="F178" s="230"/>
      <c r="G178" s="230"/>
      <c r="H178" s="230"/>
      <c r="I178" s="230"/>
      <c r="J178" s="230"/>
      <c r="K178" s="230"/>
      <c r="L178" s="230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</row>
    <row r="179" spans="1:24">
      <c r="A179" s="222"/>
      <c r="B179" s="222"/>
      <c r="C179" s="222"/>
      <c r="D179" s="230"/>
      <c r="E179" s="230"/>
      <c r="F179" s="230"/>
      <c r="G179" s="230"/>
      <c r="H179" s="230"/>
      <c r="I179" s="230"/>
      <c r="J179" s="230"/>
      <c r="K179" s="230"/>
      <c r="L179" s="230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</row>
    <row r="180" spans="1:24">
      <c r="A180" s="222"/>
      <c r="B180" s="222"/>
      <c r="C180" s="222"/>
      <c r="D180" s="230"/>
      <c r="E180" s="230"/>
      <c r="F180" s="230"/>
      <c r="G180" s="230"/>
      <c r="H180" s="230"/>
      <c r="I180" s="230"/>
      <c r="J180" s="230"/>
      <c r="K180" s="230"/>
      <c r="L180" s="230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</row>
    <row r="181" spans="1:24">
      <c r="A181" s="222"/>
      <c r="B181" s="222"/>
      <c r="C181" s="222"/>
      <c r="D181" s="230"/>
      <c r="E181" s="230"/>
      <c r="F181" s="230"/>
      <c r="G181" s="230"/>
      <c r="H181" s="230"/>
      <c r="I181" s="230"/>
      <c r="J181" s="230"/>
      <c r="K181" s="230"/>
      <c r="L181" s="230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</row>
    <row r="182" spans="1:24">
      <c r="A182" s="222"/>
      <c r="B182" s="222"/>
      <c r="C182" s="222"/>
      <c r="D182" s="230"/>
      <c r="E182" s="230"/>
      <c r="F182" s="230"/>
      <c r="G182" s="230"/>
      <c r="H182" s="230"/>
      <c r="I182" s="230"/>
      <c r="J182" s="230"/>
      <c r="K182" s="230"/>
      <c r="L182" s="230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</row>
    <row r="183" spans="1:24">
      <c r="A183" s="222"/>
      <c r="B183" s="222"/>
      <c r="C183" s="222"/>
      <c r="D183" s="230"/>
      <c r="E183" s="230"/>
      <c r="F183" s="230"/>
      <c r="G183" s="230"/>
      <c r="H183" s="230"/>
      <c r="I183" s="230"/>
      <c r="J183" s="230"/>
      <c r="K183" s="230"/>
      <c r="L183" s="230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</row>
    <row r="184" spans="1:24">
      <c r="A184" s="222"/>
      <c r="B184" s="222"/>
      <c r="C184" s="222"/>
      <c r="D184" s="230"/>
      <c r="E184" s="230"/>
      <c r="F184" s="230"/>
      <c r="G184" s="230"/>
      <c r="H184" s="230"/>
      <c r="I184" s="230"/>
      <c r="J184" s="230"/>
      <c r="K184" s="230"/>
      <c r="L184" s="230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</row>
    <row r="185" spans="1:24">
      <c r="A185" s="222"/>
      <c r="B185" s="222"/>
      <c r="C185" s="222"/>
      <c r="D185" s="230"/>
      <c r="E185" s="230"/>
      <c r="F185" s="230"/>
      <c r="G185" s="230"/>
      <c r="H185" s="230"/>
      <c r="I185" s="230"/>
      <c r="J185" s="230"/>
      <c r="K185" s="230"/>
      <c r="L185" s="230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</row>
    <row r="186" spans="1:24">
      <c r="A186" s="222"/>
      <c r="B186" s="222"/>
      <c r="C186" s="222"/>
      <c r="D186" s="230"/>
      <c r="E186" s="230"/>
      <c r="F186" s="230"/>
      <c r="G186" s="230"/>
      <c r="H186" s="230"/>
      <c r="I186" s="230"/>
      <c r="J186" s="230"/>
      <c r="K186" s="230"/>
      <c r="L186" s="230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</row>
    <row r="187" spans="1:24">
      <c r="A187" s="222"/>
      <c r="B187" s="222"/>
      <c r="C187" s="222"/>
      <c r="D187" s="230"/>
      <c r="E187" s="230"/>
      <c r="F187" s="230"/>
      <c r="G187" s="230"/>
      <c r="H187" s="230"/>
      <c r="I187" s="230"/>
      <c r="J187" s="230"/>
      <c r="K187" s="230"/>
      <c r="L187" s="230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</row>
    <row r="188" spans="1:24">
      <c r="A188" s="222"/>
      <c r="B188" s="222"/>
      <c r="C188" s="222"/>
      <c r="D188" s="230"/>
      <c r="E188" s="230"/>
      <c r="F188" s="230"/>
      <c r="G188" s="230"/>
      <c r="H188" s="230"/>
      <c r="I188" s="230"/>
      <c r="J188" s="230"/>
      <c r="K188" s="230"/>
      <c r="L188" s="230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</row>
    <row r="189" spans="1:24">
      <c r="A189" s="222"/>
      <c r="B189" s="222"/>
      <c r="C189" s="222"/>
      <c r="D189" s="230"/>
      <c r="E189" s="230"/>
      <c r="F189" s="230"/>
      <c r="G189" s="230"/>
      <c r="H189" s="230"/>
      <c r="I189" s="230"/>
      <c r="J189" s="230"/>
      <c r="K189" s="230"/>
      <c r="L189" s="230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</row>
    <row r="190" spans="1:24">
      <c r="A190" s="222"/>
      <c r="B190" s="222"/>
      <c r="C190" s="222"/>
      <c r="D190" s="230"/>
      <c r="E190" s="230"/>
      <c r="F190" s="230"/>
      <c r="G190" s="230"/>
      <c r="H190" s="230"/>
      <c r="I190" s="230"/>
      <c r="J190" s="230"/>
      <c r="K190" s="230"/>
      <c r="L190" s="230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</row>
    <row r="191" spans="1:24">
      <c r="A191" s="222"/>
      <c r="B191" s="222"/>
      <c r="C191" s="222"/>
      <c r="D191" s="230"/>
      <c r="E191" s="230"/>
      <c r="F191" s="230"/>
      <c r="G191" s="230"/>
      <c r="H191" s="230"/>
      <c r="I191" s="230"/>
      <c r="J191" s="230"/>
      <c r="K191" s="230"/>
      <c r="L191" s="230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</row>
    <row r="192" spans="1:24">
      <c r="A192" s="222"/>
      <c r="B192" s="222"/>
      <c r="C192" s="222"/>
      <c r="D192" s="230"/>
      <c r="E192" s="230"/>
      <c r="F192" s="230"/>
      <c r="G192" s="230"/>
      <c r="H192" s="230"/>
      <c r="I192" s="230"/>
      <c r="J192" s="230"/>
      <c r="K192" s="230"/>
      <c r="L192" s="230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</row>
    <row r="193" spans="1:24">
      <c r="A193" s="222"/>
      <c r="B193" s="222"/>
      <c r="C193" s="222"/>
      <c r="D193" s="230"/>
      <c r="E193" s="230"/>
      <c r="F193" s="230"/>
      <c r="G193" s="230"/>
      <c r="H193" s="230"/>
      <c r="I193" s="230"/>
      <c r="J193" s="230"/>
      <c r="K193" s="230"/>
      <c r="L193" s="230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</row>
    <row r="194" spans="1:24">
      <c r="A194" s="222"/>
      <c r="B194" s="222"/>
      <c r="C194" s="222"/>
      <c r="D194" s="230"/>
      <c r="E194" s="230"/>
      <c r="F194" s="230"/>
      <c r="G194" s="230"/>
      <c r="H194" s="230"/>
      <c r="I194" s="230"/>
      <c r="J194" s="230"/>
      <c r="K194" s="230"/>
      <c r="L194" s="230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</row>
    <row r="195" spans="1:24">
      <c r="A195" s="222"/>
      <c r="B195" s="222"/>
      <c r="C195" s="222"/>
      <c r="D195" s="230"/>
      <c r="E195" s="230"/>
      <c r="F195" s="230"/>
      <c r="G195" s="230"/>
      <c r="H195" s="230"/>
      <c r="I195" s="230"/>
      <c r="J195" s="230"/>
      <c r="K195" s="230"/>
      <c r="L195" s="230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</row>
    <row r="196" spans="1:24">
      <c r="A196" s="222"/>
      <c r="B196" s="222"/>
      <c r="C196" s="222"/>
      <c r="D196" s="230"/>
      <c r="E196" s="230"/>
      <c r="F196" s="230"/>
      <c r="G196" s="230"/>
      <c r="H196" s="230"/>
      <c r="I196" s="230"/>
      <c r="J196" s="230"/>
      <c r="K196" s="230"/>
      <c r="L196" s="230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</row>
    <row r="197" spans="1:24">
      <c r="A197" s="222"/>
      <c r="B197" s="222"/>
      <c r="C197" s="222"/>
      <c r="D197" s="230"/>
      <c r="E197" s="230"/>
      <c r="F197" s="230"/>
      <c r="G197" s="230"/>
      <c r="H197" s="230"/>
      <c r="I197" s="230"/>
      <c r="J197" s="230"/>
      <c r="K197" s="230"/>
      <c r="L197" s="230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</row>
    <row r="198" spans="1:24">
      <c r="A198" s="222"/>
      <c r="B198" s="222"/>
      <c r="C198" s="222"/>
      <c r="D198" s="230"/>
      <c r="E198" s="230"/>
      <c r="F198" s="230"/>
      <c r="G198" s="230"/>
      <c r="H198" s="230"/>
      <c r="I198" s="230"/>
      <c r="J198" s="230"/>
      <c r="K198" s="230"/>
      <c r="L198" s="230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</row>
    <row r="199" spans="1:24">
      <c r="A199" s="222"/>
      <c r="B199" s="222"/>
      <c r="C199" s="222"/>
      <c r="D199" s="230"/>
      <c r="E199" s="230"/>
      <c r="F199" s="230"/>
      <c r="G199" s="230"/>
      <c r="H199" s="230"/>
      <c r="I199" s="230"/>
      <c r="J199" s="230"/>
      <c r="K199" s="230"/>
      <c r="L199" s="230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</row>
    <row r="200" spans="1:24">
      <c r="A200" s="222"/>
      <c r="B200" s="222"/>
      <c r="C200" s="222"/>
      <c r="D200" s="230"/>
      <c r="E200" s="230"/>
      <c r="F200" s="230"/>
      <c r="G200" s="230"/>
      <c r="H200" s="230"/>
      <c r="I200" s="230"/>
      <c r="J200" s="230"/>
      <c r="K200" s="230"/>
      <c r="L200" s="230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</row>
    <row r="201" spans="1:24">
      <c r="A201" s="222"/>
      <c r="B201" s="222"/>
      <c r="C201" s="222"/>
      <c r="D201" s="230"/>
      <c r="E201" s="230"/>
      <c r="F201" s="230"/>
      <c r="G201" s="230"/>
      <c r="H201" s="230"/>
      <c r="I201" s="230"/>
      <c r="J201" s="230"/>
      <c r="K201" s="230"/>
      <c r="L201" s="230"/>
      <c r="M201" s="222"/>
      <c r="N201" s="222"/>
      <c r="O201" s="222"/>
      <c r="P201" s="222"/>
      <c r="Q201" s="222"/>
      <c r="R201" s="222"/>
      <c r="S201" s="222"/>
      <c r="T201" s="222"/>
      <c r="U201" s="222"/>
      <c r="V201" s="222"/>
      <c r="W201" s="222"/>
      <c r="X201" s="222"/>
    </row>
    <row r="202" spans="1:24">
      <c r="A202" s="222"/>
      <c r="B202" s="222"/>
      <c r="C202" s="222"/>
      <c r="D202" s="230"/>
      <c r="E202" s="230"/>
      <c r="F202" s="230"/>
      <c r="G202" s="230"/>
      <c r="H202" s="230"/>
      <c r="I202" s="230"/>
      <c r="J202" s="230"/>
      <c r="K202" s="230"/>
      <c r="L202" s="230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</row>
    <row r="203" spans="1:24">
      <c r="A203" s="222"/>
      <c r="B203" s="222"/>
      <c r="C203" s="222"/>
      <c r="D203" s="230"/>
      <c r="E203" s="230"/>
      <c r="F203" s="230"/>
      <c r="G203" s="230"/>
      <c r="H203" s="230"/>
      <c r="I203" s="230"/>
      <c r="J203" s="230"/>
      <c r="K203" s="230"/>
      <c r="L203" s="230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</row>
    <row r="204" spans="1:24">
      <c r="A204" s="222"/>
      <c r="B204" s="222"/>
      <c r="C204" s="222"/>
      <c r="D204" s="230"/>
      <c r="E204" s="230"/>
      <c r="F204" s="230"/>
      <c r="G204" s="230"/>
      <c r="H204" s="230"/>
      <c r="I204" s="230"/>
      <c r="J204" s="230"/>
      <c r="K204" s="230"/>
      <c r="L204" s="230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</row>
    <row r="205" spans="1:24">
      <c r="A205" s="222"/>
      <c r="B205" s="222"/>
      <c r="C205" s="222"/>
      <c r="D205" s="230"/>
      <c r="E205" s="230"/>
      <c r="F205" s="230"/>
      <c r="G205" s="230"/>
      <c r="H205" s="230"/>
      <c r="I205" s="230"/>
      <c r="J205" s="230"/>
      <c r="K205" s="230"/>
      <c r="L205" s="230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</row>
    <row r="206" spans="1:24">
      <c r="A206" s="222"/>
      <c r="B206" s="222"/>
      <c r="C206" s="222"/>
      <c r="D206" s="230"/>
      <c r="E206" s="230"/>
      <c r="F206" s="230"/>
      <c r="G206" s="230"/>
      <c r="H206" s="230"/>
      <c r="I206" s="230"/>
      <c r="J206" s="230"/>
      <c r="K206" s="230"/>
      <c r="L206" s="230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</row>
    <row r="207" spans="1:24">
      <c r="A207" s="222"/>
      <c r="B207" s="222"/>
      <c r="C207" s="222"/>
      <c r="D207" s="230"/>
      <c r="E207" s="230"/>
      <c r="F207" s="230"/>
      <c r="G207" s="230"/>
      <c r="H207" s="230"/>
      <c r="I207" s="230"/>
      <c r="J207" s="230"/>
      <c r="K207" s="230"/>
      <c r="L207" s="230"/>
      <c r="M207" s="222"/>
      <c r="N207" s="222"/>
      <c r="O207" s="222"/>
      <c r="P207" s="222"/>
      <c r="Q207" s="222"/>
      <c r="R207" s="222"/>
      <c r="S207" s="222"/>
      <c r="T207" s="222"/>
      <c r="U207" s="222"/>
      <c r="V207" s="222"/>
      <c r="W207" s="222"/>
      <c r="X207" s="222"/>
    </row>
    <row r="208" spans="1:24">
      <c r="A208" s="222"/>
      <c r="B208" s="222"/>
      <c r="C208" s="222"/>
      <c r="D208" s="230"/>
      <c r="E208" s="230"/>
      <c r="F208" s="230"/>
      <c r="G208" s="230"/>
      <c r="H208" s="230"/>
      <c r="I208" s="230"/>
      <c r="J208" s="230"/>
      <c r="K208" s="230"/>
      <c r="L208" s="230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</row>
    <row r="209" spans="1:24">
      <c r="A209" s="222"/>
      <c r="B209" s="222"/>
      <c r="C209" s="222"/>
      <c r="D209" s="230"/>
      <c r="E209" s="230"/>
      <c r="F209" s="230"/>
      <c r="G209" s="230"/>
      <c r="H209" s="230"/>
      <c r="I209" s="230"/>
      <c r="J209" s="230"/>
      <c r="K209" s="230"/>
      <c r="L209" s="230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</row>
    <row r="210" spans="1:24">
      <c r="A210" s="222"/>
      <c r="B210" s="222"/>
      <c r="C210" s="222"/>
      <c r="D210" s="230"/>
      <c r="E210" s="230"/>
      <c r="F210" s="230"/>
      <c r="G210" s="230"/>
      <c r="H210" s="230"/>
      <c r="I210" s="230"/>
      <c r="J210" s="230"/>
      <c r="K210" s="230"/>
      <c r="L210" s="230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</row>
    <row r="211" spans="1:24">
      <c r="A211" s="222"/>
      <c r="B211" s="222"/>
      <c r="C211" s="222"/>
      <c r="D211" s="230"/>
      <c r="E211" s="230"/>
      <c r="F211" s="230"/>
      <c r="G211" s="230"/>
      <c r="H211" s="230"/>
      <c r="I211" s="230"/>
      <c r="J211" s="230"/>
      <c r="K211" s="230"/>
      <c r="L211" s="230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</row>
    <row r="212" spans="1:24">
      <c r="A212" s="222"/>
      <c r="B212" s="222"/>
      <c r="C212" s="222"/>
      <c r="D212" s="230"/>
      <c r="E212" s="230"/>
      <c r="F212" s="230"/>
      <c r="G212" s="230"/>
      <c r="H212" s="230"/>
      <c r="I212" s="230"/>
      <c r="J212" s="230"/>
      <c r="K212" s="230"/>
      <c r="L212" s="230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</row>
    <row r="213" spans="1:24">
      <c r="A213" s="222"/>
      <c r="B213" s="222"/>
      <c r="C213" s="222"/>
      <c r="D213" s="230"/>
      <c r="E213" s="230"/>
      <c r="F213" s="230"/>
      <c r="G213" s="230"/>
      <c r="H213" s="230"/>
      <c r="I213" s="230"/>
      <c r="J213" s="230"/>
      <c r="K213" s="230"/>
      <c r="L213" s="230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</row>
    <row r="214" spans="1:24">
      <c r="A214" s="222"/>
      <c r="B214" s="222"/>
      <c r="C214" s="222"/>
      <c r="D214" s="230"/>
      <c r="E214" s="230"/>
      <c r="F214" s="230"/>
      <c r="G214" s="230"/>
      <c r="H214" s="230"/>
      <c r="I214" s="230"/>
      <c r="J214" s="230"/>
      <c r="K214" s="230"/>
      <c r="L214" s="230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</row>
    <row r="215" spans="1:24">
      <c r="A215" s="222"/>
      <c r="B215" s="222"/>
      <c r="C215" s="222"/>
      <c r="D215" s="230"/>
      <c r="E215" s="230"/>
      <c r="F215" s="230"/>
      <c r="G215" s="230"/>
      <c r="H215" s="230"/>
      <c r="I215" s="230"/>
      <c r="J215" s="230"/>
      <c r="K215" s="230"/>
      <c r="L215" s="230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</row>
    <row r="216" spans="1:24">
      <c r="A216" s="222"/>
      <c r="B216" s="222"/>
      <c r="C216" s="222"/>
      <c r="D216" s="230"/>
      <c r="E216" s="230"/>
      <c r="F216" s="230"/>
      <c r="G216" s="230"/>
      <c r="H216" s="230"/>
      <c r="I216" s="230"/>
      <c r="J216" s="230"/>
      <c r="K216" s="230"/>
      <c r="L216" s="230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</row>
    <row r="217" spans="1:24">
      <c r="A217" s="222"/>
      <c r="B217" s="222"/>
      <c r="C217" s="222"/>
      <c r="D217" s="230"/>
      <c r="E217" s="230"/>
      <c r="F217" s="230"/>
      <c r="G217" s="230"/>
      <c r="H217" s="230"/>
      <c r="I217" s="230"/>
      <c r="J217" s="230"/>
      <c r="K217" s="230"/>
      <c r="L217" s="230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</row>
    <row r="218" spans="1:24">
      <c r="A218" s="222"/>
      <c r="B218" s="222"/>
      <c r="C218" s="222"/>
      <c r="D218" s="230"/>
      <c r="E218" s="230"/>
      <c r="F218" s="230"/>
      <c r="G218" s="230"/>
      <c r="H218" s="230"/>
      <c r="I218" s="230"/>
      <c r="J218" s="230"/>
      <c r="K218" s="230"/>
      <c r="L218" s="230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</row>
    <row r="219" spans="1:24">
      <c r="A219" s="222"/>
      <c r="B219" s="222"/>
      <c r="C219" s="222"/>
      <c r="D219" s="230"/>
      <c r="E219" s="230"/>
      <c r="F219" s="230"/>
      <c r="G219" s="230"/>
      <c r="H219" s="230"/>
      <c r="I219" s="230"/>
      <c r="J219" s="230"/>
      <c r="K219" s="230"/>
      <c r="L219" s="230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</row>
    <row r="220" spans="1:24">
      <c r="A220" s="222"/>
      <c r="B220" s="222"/>
      <c r="C220" s="222"/>
      <c r="D220" s="230"/>
      <c r="E220" s="230"/>
      <c r="F220" s="230"/>
      <c r="G220" s="230"/>
      <c r="H220" s="230"/>
      <c r="I220" s="230"/>
      <c r="J220" s="230"/>
      <c r="K220" s="230"/>
      <c r="L220" s="230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</row>
    <row r="221" spans="1:24">
      <c r="A221" s="222"/>
      <c r="B221" s="222"/>
      <c r="C221" s="222"/>
      <c r="D221" s="230"/>
      <c r="E221" s="230"/>
      <c r="F221" s="230"/>
      <c r="G221" s="230"/>
      <c r="H221" s="230"/>
      <c r="I221" s="230"/>
      <c r="J221" s="230"/>
      <c r="K221" s="230"/>
      <c r="L221" s="230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</row>
    <row r="222" spans="1:24">
      <c r="A222" s="222"/>
      <c r="B222" s="222"/>
      <c r="C222" s="222"/>
      <c r="D222" s="230"/>
      <c r="E222" s="230"/>
      <c r="F222" s="230"/>
      <c r="G222" s="230"/>
      <c r="H222" s="230"/>
      <c r="I222" s="230"/>
      <c r="J222" s="230"/>
      <c r="K222" s="230"/>
      <c r="L222" s="230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</row>
    <row r="223" spans="1:24">
      <c r="A223" s="222"/>
      <c r="B223" s="222"/>
      <c r="C223" s="222"/>
      <c r="D223" s="230"/>
      <c r="E223" s="230"/>
      <c r="F223" s="230"/>
      <c r="G223" s="230"/>
      <c r="H223" s="230"/>
      <c r="I223" s="230"/>
      <c r="J223" s="230"/>
      <c r="K223" s="230"/>
      <c r="L223" s="230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</row>
    <row r="224" spans="1:24">
      <c r="A224" s="222"/>
      <c r="B224" s="222"/>
      <c r="C224" s="222"/>
      <c r="D224" s="230"/>
      <c r="E224" s="230"/>
      <c r="F224" s="230"/>
      <c r="G224" s="230"/>
      <c r="H224" s="230"/>
      <c r="I224" s="230"/>
      <c r="J224" s="230"/>
      <c r="K224" s="230"/>
      <c r="L224" s="230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</row>
    <row r="225" spans="1:22">
      <c r="A225" s="222"/>
      <c r="B225" s="222"/>
      <c r="C225" s="222"/>
      <c r="D225" s="230"/>
      <c r="E225" s="230"/>
      <c r="F225" s="230"/>
      <c r="G225" s="230"/>
      <c r="H225" s="230"/>
      <c r="I225" s="230"/>
      <c r="J225" s="230"/>
      <c r="K225" s="230"/>
      <c r="L225" s="230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</row>
    <row r="226" spans="1:22">
      <c r="A226" s="222"/>
      <c r="B226" s="222"/>
      <c r="C226" s="222"/>
      <c r="D226" s="230"/>
      <c r="E226" s="230"/>
      <c r="F226" s="230"/>
      <c r="G226" s="230"/>
      <c r="H226" s="230"/>
      <c r="I226" s="230"/>
      <c r="J226" s="230"/>
      <c r="K226" s="230"/>
      <c r="L226" s="230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</row>
    <row r="227" spans="1:22">
      <c r="A227" s="222"/>
      <c r="B227" s="222"/>
      <c r="C227" s="222"/>
      <c r="D227" s="230"/>
      <c r="E227" s="230"/>
      <c r="F227" s="230"/>
      <c r="G227" s="230"/>
      <c r="H227" s="230"/>
      <c r="I227" s="230"/>
      <c r="J227" s="230"/>
      <c r="K227" s="230"/>
      <c r="L227" s="230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</row>
    <row r="228" spans="1:22">
      <c r="A228" s="222"/>
      <c r="B228" s="222"/>
      <c r="C228" s="222"/>
      <c r="D228" s="230"/>
      <c r="E228" s="230"/>
      <c r="F228" s="230"/>
      <c r="G228" s="230"/>
      <c r="H228" s="230"/>
      <c r="I228" s="230"/>
      <c r="J228" s="230"/>
      <c r="K228" s="230"/>
      <c r="L228" s="230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</row>
    <row r="229" spans="1:22">
      <c r="A229" s="222"/>
      <c r="B229" s="222"/>
      <c r="C229" s="222"/>
      <c r="D229" s="230"/>
      <c r="E229" s="230"/>
      <c r="F229" s="230"/>
      <c r="G229" s="230"/>
      <c r="H229" s="230"/>
      <c r="I229" s="230"/>
      <c r="J229" s="230"/>
      <c r="K229" s="230"/>
      <c r="L229" s="230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</row>
    <row r="230" spans="1:22">
      <c r="A230" s="222"/>
      <c r="B230" s="222"/>
      <c r="C230" s="222"/>
      <c r="D230" s="230"/>
      <c r="E230" s="230"/>
      <c r="F230" s="230"/>
      <c r="G230" s="230"/>
      <c r="H230" s="230"/>
      <c r="I230" s="230"/>
      <c r="J230" s="230"/>
      <c r="K230" s="230"/>
      <c r="L230" s="230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</row>
    <row r="231" spans="1:22">
      <c r="A231" s="222"/>
      <c r="B231" s="222"/>
      <c r="C231" s="222"/>
      <c r="D231" s="230"/>
      <c r="E231" s="230"/>
      <c r="F231" s="230"/>
      <c r="G231" s="230"/>
      <c r="H231" s="230"/>
      <c r="I231" s="230"/>
      <c r="J231" s="230"/>
      <c r="K231" s="230"/>
      <c r="L231" s="230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</row>
    <row r="232" spans="1:22">
      <c r="A232" s="222"/>
      <c r="B232" s="222"/>
      <c r="C232" s="222"/>
      <c r="D232" s="230"/>
      <c r="E232" s="230"/>
      <c r="F232" s="230"/>
      <c r="G232" s="230"/>
      <c r="H232" s="230"/>
      <c r="I232" s="230"/>
      <c r="J232" s="230"/>
      <c r="K232" s="230"/>
      <c r="L232" s="230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</row>
    <row r="233" spans="1:22">
      <c r="A233" s="222"/>
      <c r="B233" s="222"/>
      <c r="C233" s="222"/>
      <c r="D233" s="230"/>
      <c r="E233" s="230"/>
      <c r="F233" s="230"/>
      <c r="G233" s="230"/>
      <c r="H233" s="230"/>
      <c r="I233" s="230"/>
      <c r="J233" s="230"/>
      <c r="K233" s="230"/>
      <c r="L233" s="230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</row>
    <row r="234" spans="1:22">
      <c r="A234" s="222"/>
      <c r="B234" s="222"/>
      <c r="C234" s="222"/>
      <c r="D234" s="230"/>
      <c r="E234" s="230"/>
      <c r="F234" s="230"/>
      <c r="G234" s="230"/>
      <c r="H234" s="230"/>
      <c r="I234" s="230"/>
      <c r="J234" s="230"/>
      <c r="K234" s="230"/>
      <c r="L234" s="230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</row>
    <row r="235" spans="1:22">
      <c r="A235" s="222"/>
      <c r="B235" s="222"/>
      <c r="C235" s="222"/>
      <c r="D235" s="230"/>
      <c r="E235" s="230"/>
      <c r="F235" s="230"/>
      <c r="G235" s="230"/>
      <c r="H235" s="230"/>
      <c r="I235" s="230"/>
      <c r="J235" s="230"/>
      <c r="K235" s="230"/>
      <c r="L235" s="230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</row>
    <row r="236" spans="1:22">
      <c r="A236" s="222"/>
      <c r="B236" s="222"/>
      <c r="C236" s="222"/>
      <c r="D236" s="230"/>
      <c r="E236" s="230"/>
      <c r="F236" s="230"/>
      <c r="G236" s="230"/>
      <c r="H236" s="230"/>
      <c r="I236" s="230"/>
      <c r="J236" s="230"/>
      <c r="K236" s="230"/>
      <c r="L236" s="230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</row>
    <row r="237" spans="1:22">
      <c r="A237" s="222"/>
      <c r="B237" s="222"/>
      <c r="C237" s="222"/>
      <c r="D237" s="230"/>
      <c r="E237" s="230"/>
      <c r="F237" s="230"/>
      <c r="G237" s="230"/>
      <c r="H237" s="230"/>
      <c r="I237" s="230"/>
      <c r="J237" s="230"/>
      <c r="K237" s="230"/>
      <c r="L237" s="230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</row>
    <row r="238" spans="1:22">
      <c r="A238" s="222"/>
      <c r="B238" s="222"/>
      <c r="C238" s="222"/>
      <c r="D238" s="230"/>
      <c r="E238" s="230"/>
      <c r="F238" s="230"/>
      <c r="G238" s="230"/>
      <c r="H238" s="230"/>
      <c r="I238" s="230"/>
      <c r="J238" s="230"/>
      <c r="K238" s="230"/>
      <c r="L238" s="230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</row>
    <row r="239" spans="1:22">
      <c r="A239" s="222"/>
      <c r="B239" s="222"/>
      <c r="C239" s="222"/>
      <c r="D239" s="230"/>
      <c r="E239" s="230"/>
      <c r="F239" s="230"/>
      <c r="G239" s="230"/>
      <c r="H239" s="230"/>
      <c r="I239" s="230"/>
      <c r="J239" s="230"/>
      <c r="K239" s="230"/>
      <c r="L239" s="230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</row>
    <row r="240" spans="1:22">
      <c r="A240" s="222"/>
      <c r="B240" s="222"/>
      <c r="C240" s="222"/>
      <c r="D240" s="230"/>
      <c r="E240" s="230"/>
      <c r="F240" s="230"/>
      <c r="G240" s="230"/>
      <c r="H240" s="230"/>
      <c r="I240" s="230"/>
      <c r="J240" s="230"/>
      <c r="K240" s="230"/>
      <c r="L240" s="230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</row>
    <row r="241" spans="1:22">
      <c r="A241" s="222"/>
      <c r="B241" s="222"/>
      <c r="C241" s="222"/>
      <c r="D241" s="230"/>
      <c r="E241" s="230"/>
      <c r="F241" s="230"/>
      <c r="G241" s="230"/>
      <c r="H241" s="230"/>
      <c r="I241" s="230"/>
      <c r="J241" s="230"/>
      <c r="K241" s="230"/>
      <c r="L241" s="230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</row>
    <row r="242" spans="1:22">
      <c r="A242" s="222"/>
      <c r="B242" s="222"/>
      <c r="C242" s="222"/>
      <c r="D242" s="222"/>
      <c r="E242" s="222"/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</row>
    <row r="243" spans="1:22">
      <c r="A243" s="222"/>
      <c r="B243" s="222"/>
      <c r="C243" s="222"/>
      <c r="D243" s="222"/>
      <c r="E243" s="222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</row>
    <row r="244" spans="1:22">
      <c r="A244" s="222"/>
      <c r="B244" s="222"/>
      <c r="C244" s="222"/>
      <c r="D244" s="222"/>
      <c r="E244" s="222"/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</row>
    <row r="245" spans="1:22">
      <c r="A245" s="222"/>
      <c r="B245" s="222"/>
      <c r="C245" s="222"/>
      <c r="D245" s="222"/>
      <c r="E245" s="222"/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</row>
    <row r="246" spans="1:22">
      <c r="A246" s="222"/>
      <c r="B246" s="222"/>
      <c r="C246" s="222"/>
      <c r="D246" s="222"/>
      <c r="E246" s="222"/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</row>
    <row r="247" spans="1:22">
      <c r="A247" s="222"/>
      <c r="B247" s="222"/>
      <c r="C247" s="222"/>
      <c r="D247" s="222"/>
      <c r="E247" s="222"/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</row>
    <row r="248" spans="1:22">
      <c r="A248" s="222"/>
      <c r="B248" s="222"/>
      <c r="C248" s="222"/>
      <c r="D248" s="222"/>
      <c r="E248" s="222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</row>
    <row r="249" spans="1:22">
      <c r="A249" s="222"/>
      <c r="B249" s="222"/>
      <c r="C249" s="222"/>
      <c r="D249" s="222"/>
      <c r="E249" s="222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</row>
    <row r="250" spans="1:22">
      <c r="A250" s="222"/>
      <c r="B250" s="222"/>
      <c r="C250" s="222"/>
      <c r="D250" s="222"/>
      <c r="E250" s="222"/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</row>
    <row r="251" spans="1:22">
      <c r="A251" s="222"/>
      <c r="B251" s="222"/>
      <c r="C251" s="222"/>
      <c r="D251" s="222"/>
      <c r="E251" s="222"/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</row>
    <row r="252" spans="1:22">
      <c r="A252" s="222"/>
      <c r="B252" s="222"/>
      <c r="C252" s="222"/>
      <c r="D252" s="222"/>
      <c r="E252" s="222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</row>
    <row r="253" spans="1:22">
      <c r="A253" s="222"/>
      <c r="B253" s="222"/>
      <c r="C253" s="222"/>
      <c r="D253" s="222"/>
      <c r="E253" s="222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</row>
    <row r="254" spans="1:22">
      <c r="A254" s="222"/>
      <c r="B254" s="222"/>
      <c r="C254" s="222"/>
      <c r="D254" s="222"/>
      <c r="E254" s="222"/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</row>
    <row r="255" spans="1:22">
      <c r="A255" s="222"/>
      <c r="B255" s="222"/>
      <c r="C255" s="222"/>
      <c r="D255" s="222"/>
      <c r="E255" s="222"/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</row>
    <row r="256" spans="1:22">
      <c r="A256" s="222"/>
      <c r="B256" s="222"/>
      <c r="C256" s="222"/>
      <c r="D256" s="222"/>
      <c r="E256" s="222"/>
      <c r="F256" s="222"/>
      <c r="G256" s="222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</row>
    <row r="257" spans="1:22">
      <c r="A257" s="222"/>
      <c r="B257" s="222"/>
      <c r="C257" s="222"/>
      <c r="D257" s="222"/>
      <c r="E257" s="222"/>
      <c r="F257" s="222"/>
      <c r="G257" s="222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</row>
    <row r="258" spans="1:22">
      <c r="A258" s="222"/>
      <c r="B258" s="222"/>
      <c r="C258" s="222"/>
      <c r="D258" s="222"/>
      <c r="E258" s="222"/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</row>
    <row r="259" spans="1:22">
      <c r="A259" s="222"/>
      <c r="B259" s="222"/>
      <c r="C259" s="222"/>
      <c r="D259" s="222"/>
      <c r="E259" s="222"/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</row>
    <row r="260" spans="1:22">
      <c r="A260" s="222"/>
      <c r="B260" s="222"/>
      <c r="C260" s="222"/>
      <c r="D260" s="222"/>
      <c r="E260" s="222"/>
      <c r="F260" s="222"/>
      <c r="G260" s="222"/>
      <c r="H260" s="222"/>
      <c r="I260" s="222"/>
      <c r="J260" s="222"/>
      <c r="K260" s="222"/>
      <c r="L260" s="222"/>
      <c r="M260" s="222"/>
      <c r="N260" s="222"/>
      <c r="O260" s="222"/>
      <c r="P260" s="222"/>
      <c r="Q260" s="222"/>
      <c r="R260" s="222"/>
      <c r="S260" s="222"/>
      <c r="T260" s="222"/>
      <c r="U260" s="222"/>
      <c r="V260" s="222"/>
    </row>
    <row r="261" spans="1:22">
      <c r="A261" s="222"/>
      <c r="B261" s="222"/>
      <c r="C261" s="222"/>
      <c r="D261" s="222"/>
      <c r="E261" s="222"/>
      <c r="F261" s="222"/>
      <c r="G261" s="222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</row>
    <row r="262" spans="1:22">
      <c r="A262" s="222"/>
      <c r="B262" s="222"/>
      <c r="C262" s="222"/>
      <c r="D262" s="222"/>
      <c r="E262" s="222"/>
      <c r="F262" s="222"/>
      <c r="G262" s="222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</row>
    <row r="263" spans="1:22">
      <c r="A263" s="222"/>
      <c r="B263" s="222"/>
      <c r="C263" s="222"/>
      <c r="D263" s="222"/>
      <c r="E263" s="222"/>
      <c r="F263" s="222"/>
      <c r="G263" s="222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</row>
    <row r="264" spans="1:22">
      <c r="A264" s="222"/>
      <c r="B264" s="222"/>
      <c r="C264" s="222"/>
      <c r="D264" s="222"/>
      <c r="E264" s="222"/>
      <c r="F264" s="222"/>
      <c r="G264" s="222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</row>
    <row r="265" spans="1:22">
      <c r="A265" s="222"/>
      <c r="B265" s="222"/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  <c r="O265" s="222"/>
      <c r="P265" s="222"/>
      <c r="Q265" s="222"/>
      <c r="R265" s="222"/>
      <c r="S265" s="222"/>
      <c r="T265" s="222"/>
      <c r="U265" s="222"/>
      <c r="V265" s="222"/>
    </row>
    <row r="266" spans="1:22">
      <c r="A266" s="222"/>
      <c r="B266" s="222"/>
      <c r="C266" s="222"/>
      <c r="D266" s="222"/>
      <c r="E266" s="222"/>
      <c r="F266" s="222"/>
      <c r="G266" s="222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</row>
    <row r="267" spans="1:22">
      <c r="A267" s="222"/>
      <c r="B267" s="222"/>
      <c r="C267" s="222"/>
      <c r="D267" s="222"/>
      <c r="E267" s="222"/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</row>
    <row r="268" spans="1:22">
      <c r="A268" s="222"/>
      <c r="B268" s="222"/>
      <c r="C268" s="222"/>
      <c r="D268" s="222"/>
      <c r="E268" s="222"/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</row>
    <row r="269" spans="1:22">
      <c r="A269" s="222"/>
      <c r="B269" s="222"/>
      <c r="C269" s="222"/>
      <c r="D269" s="222"/>
      <c r="E269" s="222"/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</row>
    <row r="270" spans="1:22">
      <c r="A270" s="222"/>
      <c r="B270" s="222"/>
      <c r="C270" s="222"/>
      <c r="D270" s="222"/>
      <c r="E270" s="222"/>
      <c r="F270" s="222"/>
      <c r="G270" s="222"/>
      <c r="H270" s="222"/>
      <c r="I270" s="222"/>
      <c r="J270" s="222"/>
      <c r="K270" s="222"/>
      <c r="L270" s="222"/>
      <c r="M270" s="222"/>
      <c r="N270" s="222"/>
      <c r="O270" s="222"/>
      <c r="P270" s="222"/>
      <c r="Q270" s="222"/>
      <c r="R270" s="222"/>
      <c r="S270" s="222"/>
      <c r="T270" s="222"/>
      <c r="U270" s="222"/>
      <c r="V270" s="222"/>
    </row>
    <row r="271" spans="1:22">
      <c r="A271" s="222"/>
      <c r="B271" s="222"/>
      <c r="C271" s="222"/>
      <c r="D271" s="222"/>
      <c r="E271" s="222"/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</row>
    <row r="272" spans="1:22">
      <c r="A272" s="222"/>
      <c r="B272" s="222"/>
      <c r="C272" s="222"/>
      <c r="D272" s="222"/>
      <c r="E272" s="222"/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</row>
    <row r="273" spans="1:22">
      <c r="A273" s="222"/>
      <c r="B273" s="222"/>
      <c r="C273" s="222"/>
      <c r="D273" s="222"/>
      <c r="E273" s="222"/>
      <c r="F273" s="222"/>
      <c r="G273" s="222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</row>
    <row r="274" spans="1:22">
      <c r="A274" s="222"/>
      <c r="B274" s="222"/>
      <c r="C274" s="222"/>
      <c r="D274" s="222"/>
      <c r="E274" s="222"/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</row>
    <row r="275" spans="1:22">
      <c r="A275" s="222"/>
      <c r="B275" s="222"/>
      <c r="C275" s="222"/>
      <c r="D275" s="222"/>
      <c r="E275" s="222"/>
      <c r="F275" s="222"/>
      <c r="G275" s="222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</row>
    <row r="276" spans="1:22">
      <c r="A276" s="222"/>
      <c r="B276" s="222"/>
      <c r="C276" s="222"/>
      <c r="D276" s="222"/>
      <c r="E276" s="222"/>
      <c r="F276" s="222"/>
      <c r="G276" s="222"/>
      <c r="H276" s="222"/>
      <c r="I276" s="222"/>
      <c r="J276" s="222"/>
      <c r="K276" s="222"/>
      <c r="L276" s="222"/>
      <c r="M276" s="222"/>
      <c r="N276" s="222"/>
      <c r="O276" s="222"/>
      <c r="P276" s="222"/>
      <c r="Q276" s="222"/>
      <c r="R276" s="222"/>
      <c r="S276" s="222"/>
      <c r="T276" s="222"/>
      <c r="U276" s="222"/>
      <c r="V276" s="222"/>
    </row>
    <row r="277" spans="1:22">
      <c r="A277" s="222"/>
      <c r="B277" s="222"/>
      <c r="C277" s="222"/>
      <c r="D277" s="222"/>
      <c r="E277" s="222"/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</row>
    <row r="278" spans="1:22">
      <c r="A278" s="222"/>
      <c r="B278" s="222"/>
      <c r="C278" s="222"/>
      <c r="D278" s="222"/>
      <c r="E278" s="222"/>
      <c r="F278" s="222"/>
      <c r="G278" s="222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</row>
    <row r="279" spans="1:22">
      <c r="A279" s="222"/>
      <c r="B279" s="222"/>
      <c r="C279" s="222"/>
      <c r="D279" s="222"/>
      <c r="E279" s="222"/>
      <c r="F279" s="222"/>
      <c r="G279" s="222"/>
      <c r="H279" s="222"/>
      <c r="I279" s="222"/>
      <c r="J279" s="222"/>
      <c r="K279" s="222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</row>
    <row r="280" spans="1:22">
      <c r="A280" s="222"/>
      <c r="B280" s="222"/>
      <c r="C280" s="222"/>
      <c r="D280" s="222"/>
      <c r="E280" s="222"/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</row>
    <row r="281" spans="1:22">
      <c r="A281" s="222"/>
      <c r="B281" s="222"/>
      <c r="C281" s="222"/>
      <c r="D281" s="222"/>
      <c r="E281" s="222"/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</row>
    <row r="282" spans="1:22">
      <c r="A282" s="222"/>
      <c r="B282" s="222"/>
      <c r="C282" s="222"/>
      <c r="D282" s="222"/>
      <c r="E282" s="222"/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</row>
    <row r="283" spans="1:22">
      <c r="A283" s="222"/>
      <c r="B283" s="222"/>
      <c r="C283" s="222"/>
      <c r="D283" s="222"/>
      <c r="E283" s="222"/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</row>
    <row r="284" spans="1:22">
      <c r="A284" s="222"/>
      <c r="B284" s="222"/>
      <c r="C284" s="222"/>
      <c r="D284" s="222"/>
      <c r="E284" s="222"/>
      <c r="F284" s="222"/>
      <c r="G284" s="222"/>
      <c r="H284" s="222"/>
      <c r="I284" s="222"/>
      <c r="J284" s="222"/>
      <c r="K284" s="222"/>
      <c r="L284" s="222"/>
      <c r="M284" s="222"/>
      <c r="N284" s="222"/>
      <c r="O284" s="222"/>
      <c r="P284" s="222"/>
      <c r="Q284" s="222"/>
      <c r="R284" s="222"/>
      <c r="S284" s="222"/>
      <c r="T284" s="222"/>
      <c r="U284" s="222"/>
      <c r="V284" s="222"/>
    </row>
    <row r="285" spans="1:22">
      <c r="A285" s="222"/>
      <c r="B285" s="222"/>
      <c r="C285" s="222"/>
      <c r="D285" s="222"/>
      <c r="E285" s="222"/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</row>
    <row r="286" spans="1:22">
      <c r="A286" s="222"/>
      <c r="B286" s="222"/>
      <c r="C286" s="222"/>
      <c r="D286" s="222"/>
      <c r="E286" s="222"/>
      <c r="F286" s="222"/>
      <c r="G286" s="222"/>
      <c r="H286" s="222"/>
      <c r="I286" s="222"/>
      <c r="J286" s="222"/>
      <c r="K286" s="222"/>
      <c r="L286" s="222"/>
      <c r="M286" s="222"/>
      <c r="N286" s="222"/>
      <c r="O286" s="222"/>
      <c r="P286" s="222"/>
      <c r="Q286" s="222"/>
      <c r="R286" s="222"/>
      <c r="S286" s="222"/>
      <c r="T286" s="222"/>
      <c r="U286" s="222"/>
      <c r="V286" s="222"/>
    </row>
    <row r="287" spans="1:22">
      <c r="A287" s="222"/>
      <c r="B287" s="222"/>
      <c r="C287" s="222"/>
      <c r="D287" s="222"/>
      <c r="E287" s="222"/>
      <c r="F287" s="222"/>
      <c r="G287" s="222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</row>
    <row r="288" spans="1:22">
      <c r="A288" s="222"/>
      <c r="B288" s="222"/>
      <c r="C288" s="222"/>
      <c r="D288" s="222"/>
      <c r="E288" s="222"/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</row>
    <row r="289" spans="1:18">
      <c r="A289" s="222"/>
      <c r="B289" s="222"/>
      <c r="C289" s="222"/>
      <c r="D289" s="222"/>
      <c r="E289" s="222"/>
      <c r="F289" s="222"/>
      <c r="G289" s="222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</row>
    <row r="290" spans="1:18">
      <c r="A290" s="222"/>
      <c r="B290" s="222"/>
      <c r="C290" s="222"/>
      <c r="D290" s="222"/>
      <c r="E290" s="222"/>
      <c r="F290" s="222"/>
      <c r="G290" s="222"/>
      <c r="H290" s="222"/>
      <c r="I290" s="222"/>
      <c r="J290" s="222"/>
      <c r="K290" s="222"/>
      <c r="L290" s="222"/>
      <c r="M290" s="222"/>
      <c r="N290" s="222"/>
      <c r="O290" s="222"/>
      <c r="P290" s="222"/>
      <c r="Q290" s="222"/>
      <c r="R290" s="222"/>
    </row>
    <row r="291" spans="1:18">
      <c r="A291" s="222"/>
      <c r="B291" s="222"/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  <c r="O291" s="222"/>
      <c r="P291" s="222"/>
      <c r="Q291" s="222"/>
      <c r="R291" s="222"/>
    </row>
    <row r="292" spans="1:18">
      <c r="A292" s="222"/>
      <c r="B292" s="222"/>
      <c r="C292" s="222"/>
      <c r="D292" s="222"/>
      <c r="E292" s="222"/>
      <c r="F292" s="222"/>
      <c r="G292" s="222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</row>
    <row r="293" spans="1:18">
      <c r="A293" s="222"/>
      <c r="B293" s="222"/>
      <c r="C293" s="222"/>
      <c r="D293" s="222"/>
      <c r="E293" s="222"/>
      <c r="F293" s="222"/>
      <c r="G293" s="222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</row>
    <row r="294" spans="1:18">
      <c r="A294" s="222"/>
      <c r="B294" s="222"/>
      <c r="C294" s="222"/>
      <c r="D294" s="222"/>
      <c r="E294" s="222"/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</row>
    <row r="295" spans="1:18">
      <c r="A295" s="222"/>
    </row>
    <row r="296" spans="1:18">
      <c r="A296" s="222"/>
    </row>
  </sheetData>
  <mergeCells count="1">
    <mergeCell ref="A1:I1"/>
  </mergeCells>
  <pageMargins left="0.7" right="0.7" top="0.75" bottom="0.75" header="0.3" footer="0.3"/>
  <pageSetup paperSize="9" scale="25" orientation="portrait" r:id="rId1"/>
  <rowBreaks count="1" manualBreakCount="1">
    <brk id="98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W259"/>
  <sheetViews>
    <sheetView view="pageBreakPreview" topLeftCell="AJB52" zoomScale="40" zoomScaleSheetLayoutView="40" workbookViewId="0">
      <selection activeCell="A9" sqref="A9"/>
    </sheetView>
  </sheetViews>
  <sheetFormatPr defaultRowHeight="34.5"/>
  <cols>
    <col min="1" max="1" width="87.77734375" style="77" customWidth="1"/>
    <col min="2" max="2" width="38.33203125" style="77" customWidth="1"/>
    <col min="3" max="3" width="25.21875" style="77" customWidth="1"/>
    <col min="4" max="5" width="24.109375" style="77" customWidth="1"/>
    <col min="6" max="6" width="29.88671875" style="77" customWidth="1"/>
    <col min="7" max="7" width="25.88671875" style="77" customWidth="1"/>
    <col min="8" max="8" width="23.109375" style="77" customWidth="1"/>
    <col min="9" max="9" width="24.77734375" style="77" customWidth="1"/>
    <col min="10" max="10" width="25.33203125" style="77" customWidth="1"/>
    <col min="11" max="24" width="8.88671875" style="77"/>
    <col min="25" max="256" width="7.109375" style="77"/>
    <col min="257" max="257" width="3.88671875" style="77" customWidth="1"/>
    <col min="258" max="258" width="60.88671875" style="77" customWidth="1"/>
    <col min="259" max="259" width="10.5546875" style="77" customWidth="1"/>
    <col min="260" max="260" width="15.109375" style="77" customWidth="1"/>
    <col min="261" max="261" width="16.6640625" style="77" customWidth="1"/>
    <col min="262" max="262" width="15.109375" style="77" customWidth="1"/>
    <col min="263" max="264" width="13.5546875" style="77" bestFit="1" customWidth="1"/>
    <col min="265" max="265" width="8.6640625" style="77" bestFit="1" customWidth="1"/>
    <col min="266" max="512" width="7.109375" style="77"/>
    <col min="513" max="513" width="3.88671875" style="77" customWidth="1"/>
    <col min="514" max="514" width="60.88671875" style="77" customWidth="1"/>
    <col min="515" max="515" width="10.5546875" style="77" customWidth="1"/>
    <col min="516" max="516" width="15.109375" style="77" customWidth="1"/>
    <col min="517" max="517" width="16.6640625" style="77" customWidth="1"/>
    <col min="518" max="518" width="15.109375" style="77" customWidth="1"/>
    <col min="519" max="520" width="13.5546875" style="77" bestFit="1" customWidth="1"/>
    <col min="521" max="521" width="8.6640625" style="77" bestFit="1" customWidth="1"/>
    <col min="522" max="768" width="7.109375" style="77"/>
    <col min="769" max="769" width="3.88671875" style="77" customWidth="1"/>
    <col min="770" max="770" width="60.88671875" style="77" customWidth="1"/>
    <col min="771" max="771" width="10.5546875" style="77" customWidth="1"/>
    <col min="772" max="772" width="15.109375" style="77" customWidth="1"/>
    <col min="773" max="773" width="16.6640625" style="77" customWidth="1"/>
    <col min="774" max="774" width="15.109375" style="77" customWidth="1"/>
    <col min="775" max="776" width="13.5546875" style="77" bestFit="1" customWidth="1"/>
    <col min="777" max="777" width="8.6640625" style="77" bestFit="1" customWidth="1"/>
    <col min="778" max="1024" width="8.88671875" style="77"/>
    <col min="1025" max="1025" width="3.88671875" style="77" customWidth="1"/>
    <col min="1026" max="1026" width="60.88671875" style="77" customWidth="1"/>
    <col min="1027" max="1027" width="10.5546875" style="77" customWidth="1"/>
    <col min="1028" max="1028" width="15.109375" style="77" customWidth="1"/>
    <col min="1029" max="1029" width="16.6640625" style="77" customWidth="1"/>
    <col min="1030" max="1030" width="15.109375" style="77" customWidth="1"/>
    <col min="1031" max="1032" width="13.5546875" style="77" bestFit="1" customWidth="1"/>
    <col min="1033" max="1033" width="8.6640625" style="77" bestFit="1" customWidth="1"/>
    <col min="1034" max="1280" width="7.109375" style="77"/>
    <col min="1281" max="1281" width="3.88671875" style="77" customWidth="1"/>
    <col min="1282" max="1282" width="60.88671875" style="77" customWidth="1"/>
    <col min="1283" max="1283" width="10.5546875" style="77" customWidth="1"/>
    <col min="1284" max="1284" width="15.109375" style="77" customWidth="1"/>
    <col min="1285" max="1285" width="16.6640625" style="77" customWidth="1"/>
    <col min="1286" max="1286" width="15.109375" style="77" customWidth="1"/>
    <col min="1287" max="1288" width="13.5546875" style="77" bestFit="1" customWidth="1"/>
    <col min="1289" max="1289" width="8.6640625" style="77" bestFit="1" customWidth="1"/>
    <col min="1290" max="1536" width="7.109375" style="77"/>
    <col min="1537" max="1537" width="3.88671875" style="77" customWidth="1"/>
    <col min="1538" max="1538" width="60.88671875" style="77" customWidth="1"/>
    <col min="1539" max="1539" width="10.5546875" style="77" customWidth="1"/>
    <col min="1540" max="1540" width="15.109375" style="77" customWidth="1"/>
    <col min="1541" max="1541" width="16.6640625" style="77" customWidth="1"/>
    <col min="1542" max="1542" width="15.109375" style="77" customWidth="1"/>
    <col min="1543" max="1544" width="13.5546875" style="77" bestFit="1" customWidth="1"/>
    <col min="1545" max="1545" width="8.6640625" style="77" bestFit="1" customWidth="1"/>
    <col min="1546" max="1792" width="7.109375" style="77"/>
    <col min="1793" max="1793" width="3.88671875" style="77" customWidth="1"/>
    <col min="1794" max="1794" width="60.88671875" style="77" customWidth="1"/>
    <col min="1795" max="1795" width="10.5546875" style="77" customWidth="1"/>
    <col min="1796" max="1796" width="15.109375" style="77" customWidth="1"/>
    <col min="1797" max="1797" width="16.6640625" style="77" customWidth="1"/>
    <col min="1798" max="1798" width="15.109375" style="77" customWidth="1"/>
    <col min="1799" max="1800" width="13.5546875" style="77" bestFit="1" customWidth="1"/>
    <col min="1801" max="1801" width="8.6640625" style="77" bestFit="1" customWidth="1"/>
    <col min="1802" max="2048" width="8.88671875" style="77"/>
    <col min="2049" max="2049" width="3.88671875" style="77" customWidth="1"/>
    <col min="2050" max="2050" width="60.88671875" style="77" customWidth="1"/>
    <col min="2051" max="2051" width="10.5546875" style="77" customWidth="1"/>
    <col min="2052" max="2052" width="15.109375" style="77" customWidth="1"/>
    <col min="2053" max="2053" width="16.6640625" style="77" customWidth="1"/>
    <col min="2054" max="2054" width="15.109375" style="77" customWidth="1"/>
    <col min="2055" max="2056" width="13.5546875" style="77" bestFit="1" customWidth="1"/>
    <col min="2057" max="2057" width="8.6640625" style="77" bestFit="1" customWidth="1"/>
    <col min="2058" max="2304" width="7.109375" style="77"/>
    <col min="2305" max="2305" width="3.88671875" style="77" customWidth="1"/>
    <col min="2306" max="2306" width="60.88671875" style="77" customWidth="1"/>
    <col min="2307" max="2307" width="10.5546875" style="77" customWidth="1"/>
    <col min="2308" max="2308" width="15.109375" style="77" customWidth="1"/>
    <col min="2309" max="2309" width="16.6640625" style="77" customWidth="1"/>
    <col min="2310" max="2310" width="15.109375" style="77" customWidth="1"/>
    <col min="2311" max="2312" width="13.5546875" style="77" bestFit="1" customWidth="1"/>
    <col min="2313" max="2313" width="8.6640625" style="77" bestFit="1" customWidth="1"/>
    <col min="2314" max="2560" width="7.109375" style="77"/>
    <col min="2561" max="2561" width="3.88671875" style="77" customWidth="1"/>
    <col min="2562" max="2562" width="60.88671875" style="77" customWidth="1"/>
    <col min="2563" max="2563" width="10.5546875" style="77" customWidth="1"/>
    <col min="2564" max="2564" width="15.109375" style="77" customWidth="1"/>
    <col min="2565" max="2565" width="16.6640625" style="77" customWidth="1"/>
    <col min="2566" max="2566" width="15.109375" style="77" customWidth="1"/>
    <col min="2567" max="2568" width="13.5546875" style="77" bestFit="1" customWidth="1"/>
    <col min="2569" max="2569" width="8.6640625" style="77" bestFit="1" customWidth="1"/>
    <col min="2570" max="2816" width="7.109375" style="77"/>
    <col min="2817" max="2817" width="3.88671875" style="77" customWidth="1"/>
    <col min="2818" max="2818" width="60.88671875" style="77" customWidth="1"/>
    <col min="2819" max="2819" width="10.5546875" style="77" customWidth="1"/>
    <col min="2820" max="2820" width="15.109375" style="77" customWidth="1"/>
    <col min="2821" max="2821" width="16.6640625" style="77" customWidth="1"/>
    <col min="2822" max="2822" width="15.109375" style="77" customWidth="1"/>
    <col min="2823" max="2824" width="13.5546875" style="77" bestFit="1" customWidth="1"/>
    <col min="2825" max="2825" width="8.6640625" style="77" bestFit="1" customWidth="1"/>
    <col min="2826" max="3072" width="8.88671875" style="77"/>
    <col min="3073" max="3073" width="3.88671875" style="77" customWidth="1"/>
    <col min="3074" max="3074" width="60.88671875" style="77" customWidth="1"/>
    <col min="3075" max="3075" width="10.5546875" style="77" customWidth="1"/>
    <col min="3076" max="3076" width="15.109375" style="77" customWidth="1"/>
    <col min="3077" max="3077" width="16.6640625" style="77" customWidth="1"/>
    <col min="3078" max="3078" width="15.109375" style="77" customWidth="1"/>
    <col min="3079" max="3080" width="13.5546875" style="77" bestFit="1" customWidth="1"/>
    <col min="3081" max="3081" width="8.6640625" style="77" bestFit="1" customWidth="1"/>
    <col min="3082" max="3328" width="7.109375" style="77"/>
    <col min="3329" max="3329" width="3.88671875" style="77" customWidth="1"/>
    <col min="3330" max="3330" width="60.88671875" style="77" customWidth="1"/>
    <col min="3331" max="3331" width="10.5546875" style="77" customWidth="1"/>
    <col min="3332" max="3332" width="15.109375" style="77" customWidth="1"/>
    <col min="3333" max="3333" width="16.6640625" style="77" customWidth="1"/>
    <col min="3334" max="3334" width="15.109375" style="77" customWidth="1"/>
    <col min="3335" max="3336" width="13.5546875" style="77" bestFit="1" customWidth="1"/>
    <col min="3337" max="3337" width="8.6640625" style="77" bestFit="1" customWidth="1"/>
    <col min="3338" max="3584" width="7.109375" style="77"/>
    <col min="3585" max="3585" width="3.88671875" style="77" customWidth="1"/>
    <col min="3586" max="3586" width="60.88671875" style="77" customWidth="1"/>
    <col min="3587" max="3587" width="10.5546875" style="77" customWidth="1"/>
    <col min="3588" max="3588" width="15.109375" style="77" customWidth="1"/>
    <col min="3589" max="3589" width="16.6640625" style="77" customWidth="1"/>
    <col min="3590" max="3590" width="15.109375" style="77" customWidth="1"/>
    <col min="3591" max="3592" width="13.5546875" style="77" bestFit="1" customWidth="1"/>
    <col min="3593" max="3593" width="8.6640625" style="77" bestFit="1" customWidth="1"/>
    <col min="3594" max="3840" width="7.109375" style="77"/>
    <col min="3841" max="3841" width="3.88671875" style="77" customWidth="1"/>
    <col min="3842" max="3842" width="60.88671875" style="77" customWidth="1"/>
    <col min="3843" max="3843" width="10.5546875" style="77" customWidth="1"/>
    <col min="3844" max="3844" width="15.109375" style="77" customWidth="1"/>
    <col min="3845" max="3845" width="16.6640625" style="77" customWidth="1"/>
    <col min="3846" max="3846" width="15.109375" style="77" customWidth="1"/>
    <col min="3847" max="3848" width="13.5546875" style="77" bestFit="1" customWidth="1"/>
    <col min="3849" max="3849" width="8.6640625" style="77" bestFit="1" customWidth="1"/>
    <col min="3850" max="4096" width="8.88671875" style="77"/>
    <col min="4097" max="4097" width="3.88671875" style="77" customWidth="1"/>
    <col min="4098" max="4098" width="60.88671875" style="77" customWidth="1"/>
    <col min="4099" max="4099" width="10.5546875" style="77" customWidth="1"/>
    <col min="4100" max="4100" width="15.109375" style="77" customWidth="1"/>
    <col min="4101" max="4101" width="16.6640625" style="77" customWidth="1"/>
    <col min="4102" max="4102" width="15.109375" style="77" customWidth="1"/>
    <col min="4103" max="4104" width="13.5546875" style="77" bestFit="1" customWidth="1"/>
    <col min="4105" max="4105" width="8.6640625" style="77" bestFit="1" customWidth="1"/>
    <col min="4106" max="4352" width="7.109375" style="77"/>
    <col min="4353" max="4353" width="3.88671875" style="77" customWidth="1"/>
    <col min="4354" max="4354" width="60.88671875" style="77" customWidth="1"/>
    <col min="4355" max="4355" width="10.5546875" style="77" customWidth="1"/>
    <col min="4356" max="4356" width="15.109375" style="77" customWidth="1"/>
    <col min="4357" max="4357" width="16.6640625" style="77" customWidth="1"/>
    <col min="4358" max="4358" width="15.109375" style="77" customWidth="1"/>
    <col min="4359" max="4360" width="13.5546875" style="77" bestFit="1" customWidth="1"/>
    <col min="4361" max="4361" width="8.6640625" style="77" bestFit="1" customWidth="1"/>
    <col min="4362" max="4608" width="7.109375" style="77"/>
    <col min="4609" max="4609" width="3.88671875" style="77" customWidth="1"/>
    <col min="4610" max="4610" width="60.88671875" style="77" customWidth="1"/>
    <col min="4611" max="4611" width="10.5546875" style="77" customWidth="1"/>
    <col min="4612" max="4612" width="15.109375" style="77" customWidth="1"/>
    <col min="4613" max="4613" width="16.6640625" style="77" customWidth="1"/>
    <col min="4614" max="4614" width="15.109375" style="77" customWidth="1"/>
    <col min="4615" max="4616" width="13.5546875" style="77" bestFit="1" customWidth="1"/>
    <col min="4617" max="4617" width="8.6640625" style="77" bestFit="1" customWidth="1"/>
    <col min="4618" max="4864" width="7.109375" style="77"/>
    <col min="4865" max="4865" width="3.88671875" style="77" customWidth="1"/>
    <col min="4866" max="4866" width="60.88671875" style="77" customWidth="1"/>
    <col min="4867" max="4867" width="10.5546875" style="77" customWidth="1"/>
    <col min="4868" max="4868" width="15.109375" style="77" customWidth="1"/>
    <col min="4869" max="4869" width="16.6640625" style="77" customWidth="1"/>
    <col min="4870" max="4870" width="15.109375" style="77" customWidth="1"/>
    <col min="4871" max="4872" width="13.5546875" style="77" bestFit="1" customWidth="1"/>
    <col min="4873" max="4873" width="8.6640625" style="77" bestFit="1" customWidth="1"/>
    <col min="4874" max="5120" width="8.88671875" style="77"/>
    <col min="5121" max="5121" width="3.88671875" style="77" customWidth="1"/>
    <col min="5122" max="5122" width="60.88671875" style="77" customWidth="1"/>
    <col min="5123" max="5123" width="10.5546875" style="77" customWidth="1"/>
    <col min="5124" max="5124" width="15.109375" style="77" customWidth="1"/>
    <col min="5125" max="5125" width="16.6640625" style="77" customWidth="1"/>
    <col min="5126" max="5126" width="15.109375" style="77" customWidth="1"/>
    <col min="5127" max="5128" width="13.5546875" style="77" bestFit="1" customWidth="1"/>
    <col min="5129" max="5129" width="8.6640625" style="77" bestFit="1" customWidth="1"/>
    <col min="5130" max="5376" width="7.109375" style="77"/>
    <col min="5377" max="5377" width="3.88671875" style="77" customWidth="1"/>
    <col min="5378" max="5378" width="60.88671875" style="77" customWidth="1"/>
    <col min="5379" max="5379" width="10.5546875" style="77" customWidth="1"/>
    <col min="5380" max="5380" width="15.109375" style="77" customWidth="1"/>
    <col min="5381" max="5381" width="16.6640625" style="77" customWidth="1"/>
    <col min="5382" max="5382" width="15.109375" style="77" customWidth="1"/>
    <col min="5383" max="5384" width="13.5546875" style="77" bestFit="1" customWidth="1"/>
    <col min="5385" max="5385" width="8.6640625" style="77" bestFit="1" customWidth="1"/>
    <col min="5386" max="5632" width="7.109375" style="77"/>
    <col min="5633" max="5633" width="3.88671875" style="77" customWidth="1"/>
    <col min="5634" max="5634" width="60.88671875" style="77" customWidth="1"/>
    <col min="5635" max="5635" width="10.5546875" style="77" customWidth="1"/>
    <col min="5636" max="5636" width="15.109375" style="77" customWidth="1"/>
    <col min="5637" max="5637" width="16.6640625" style="77" customWidth="1"/>
    <col min="5638" max="5638" width="15.109375" style="77" customWidth="1"/>
    <col min="5639" max="5640" width="13.5546875" style="77" bestFit="1" customWidth="1"/>
    <col min="5641" max="5641" width="8.6640625" style="77" bestFit="1" customWidth="1"/>
    <col min="5642" max="5888" width="7.109375" style="77"/>
    <col min="5889" max="5889" width="3.88671875" style="77" customWidth="1"/>
    <col min="5890" max="5890" width="60.88671875" style="77" customWidth="1"/>
    <col min="5891" max="5891" width="10.5546875" style="77" customWidth="1"/>
    <col min="5892" max="5892" width="15.109375" style="77" customWidth="1"/>
    <col min="5893" max="5893" width="16.6640625" style="77" customWidth="1"/>
    <col min="5894" max="5894" width="15.109375" style="77" customWidth="1"/>
    <col min="5895" max="5896" width="13.5546875" style="77" bestFit="1" customWidth="1"/>
    <col min="5897" max="5897" width="8.6640625" style="77" bestFit="1" customWidth="1"/>
    <col min="5898" max="6144" width="8.88671875" style="77"/>
    <col min="6145" max="6145" width="3.88671875" style="77" customWidth="1"/>
    <col min="6146" max="6146" width="60.88671875" style="77" customWidth="1"/>
    <col min="6147" max="6147" width="10.5546875" style="77" customWidth="1"/>
    <col min="6148" max="6148" width="15.109375" style="77" customWidth="1"/>
    <col min="6149" max="6149" width="16.6640625" style="77" customWidth="1"/>
    <col min="6150" max="6150" width="15.109375" style="77" customWidth="1"/>
    <col min="6151" max="6152" width="13.5546875" style="77" bestFit="1" customWidth="1"/>
    <col min="6153" max="6153" width="8.6640625" style="77" bestFit="1" customWidth="1"/>
    <col min="6154" max="6400" width="7.109375" style="77"/>
    <col min="6401" max="6401" width="3.88671875" style="77" customWidth="1"/>
    <col min="6402" max="6402" width="60.88671875" style="77" customWidth="1"/>
    <col min="6403" max="6403" width="10.5546875" style="77" customWidth="1"/>
    <col min="6404" max="6404" width="15.109375" style="77" customWidth="1"/>
    <col min="6405" max="6405" width="16.6640625" style="77" customWidth="1"/>
    <col min="6406" max="6406" width="15.109375" style="77" customWidth="1"/>
    <col min="6407" max="6408" width="13.5546875" style="77" bestFit="1" customWidth="1"/>
    <col min="6409" max="6409" width="8.6640625" style="77" bestFit="1" customWidth="1"/>
    <col min="6410" max="6656" width="7.109375" style="77"/>
    <col min="6657" max="6657" width="3.88671875" style="77" customWidth="1"/>
    <col min="6658" max="6658" width="60.88671875" style="77" customWidth="1"/>
    <col min="6659" max="6659" width="10.5546875" style="77" customWidth="1"/>
    <col min="6660" max="6660" width="15.109375" style="77" customWidth="1"/>
    <col min="6661" max="6661" width="16.6640625" style="77" customWidth="1"/>
    <col min="6662" max="6662" width="15.109375" style="77" customWidth="1"/>
    <col min="6663" max="6664" width="13.5546875" style="77" bestFit="1" customWidth="1"/>
    <col min="6665" max="6665" width="8.6640625" style="77" bestFit="1" customWidth="1"/>
    <col min="6666" max="6912" width="7.109375" style="77"/>
    <col min="6913" max="6913" width="3.88671875" style="77" customWidth="1"/>
    <col min="6914" max="6914" width="60.88671875" style="77" customWidth="1"/>
    <col min="6915" max="6915" width="10.5546875" style="77" customWidth="1"/>
    <col min="6916" max="6916" width="15.109375" style="77" customWidth="1"/>
    <col min="6917" max="6917" width="16.6640625" style="77" customWidth="1"/>
    <col min="6918" max="6918" width="15.109375" style="77" customWidth="1"/>
    <col min="6919" max="6920" width="13.5546875" style="77" bestFit="1" customWidth="1"/>
    <col min="6921" max="6921" width="8.6640625" style="77" bestFit="1" customWidth="1"/>
    <col min="6922" max="7168" width="8.88671875" style="77"/>
    <col min="7169" max="7169" width="3.88671875" style="77" customWidth="1"/>
    <col min="7170" max="7170" width="60.88671875" style="77" customWidth="1"/>
    <col min="7171" max="7171" width="10.5546875" style="77" customWidth="1"/>
    <col min="7172" max="7172" width="15.109375" style="77" customWidth="1"/>
    <col min="7173" max="7173" width="16.6640625" style="77" customWidth="1"/>
    <col min="7174" max="7174" width="15.109375" style="77" customWidth="1"/>
    <col min="7175" max="7176" width="13.5546875" style="77" bestFit="1" customWidth="1"/>
    <col min="7177" max="7177" width="8.6640625" style="77" bestFit="1" customWidth="1"/>
    <col min="7178" max="7424" width="7.109375" style="77"/>
    <col min="7425" max="7425" width="3.88671875" style="77" customWidth="1"/>
    <col min="7426" max="7426" width="60.88671875" style="77" customWidth="1"/>
    <col min="7427" max="7427" width="10.5546875" style="77" customWidth="1"/>
    <col min="7428" max="7428" width="15.109375" style="77" customWidth="1"/>
    <col min="7429" max="7429" width="16.6640625" style="77" customWidth="1"/>
    <col min="7430" max="7430" width="15.109375" style="77" customWidth="1"/>
    <col min="7431" max="7432" width="13.5546875" style="77" bestFit="1" customWidth="1"/>
    <col min="7433" max="7433" width="8.6640625" style="77" bestFit="1" customWidth="1"/>
    <col min="7434" max="7680" width="7.109375" style="77"/>
    <col min="7681" max="7681" width="3.88671875" style="77" customWidth="1"/>
    <col min="7682" max="7682" width="60.88671875" style="77" customWidth="1"/>
    <col min="7683" max="7683" width="10.5546875" style="77" customWidth="1"/>
    <col min="7684" max="7684" width="15.109375" style="77" customWidth="1"/>
    <col min="7685" max="7685" width="16.6640625" style="77" customWidth="1"/>
    <col min="7686" max="7686" width="15.109375" style="77" customWidth="1"/>
    <col min="7687" max="7688" width="13.5546875" style="77" bestFit="1" customWidth="1"/>
    <col min="7689" max="7689" width="8.6640625" style="77" bestFit="1" customWidth="1"/>
    <col min="7690" max="7936" width="7.109375" style="77"/>
    <col min="7937" max="7937" width="3.88671875" style="77" customWidth="1"/>
    <col min="7938" max="7938" width="60.88671875" style="77" customWidth="1"/>
    <col min="7939" max="7939" width="10.5546875" style="77" customWidth="1"/>
    <col min="7940" max="7940" width="15.109375" style="77" customWidth="1"/>
    <col min="7941" max="7941" width="16.6640625" style="77" customWidth="1"/>
    <col min="7942" max="7942" width="15.109375" style="77" customWidth="1"/>
    <col min="7943" max="7944" width="13.5546875" style="77" bestFit="1" customWidth="1"/>
    <col min="7945" max="7945" width="8.6640625" style="77" bestFit="1" customWidth="1"/>
    <col min="7946" max="8192" width="8.88671875" style="77"/>
    <col min="8193" max="8193" width="3.88671875" style="77" customWidth="1"/>
    <col min="8194" max="8194" width="60.88671875" style="77" customWidth="1"/>
    <col min="8195" max="8195" width="10.5546875" style="77" customWidth="1"/>
    <col min="8196" max="8196" width="15.109375" style="77" customWidth="1"/>
    <col min="8197" max="8197" width="16.6640625" style="77" customWidth="1"/>
    <col min="8198" max="8198" width="15.109375" style="77" customWidth="1"/>
    <col min="8199" max="8200" width="13.5546875" style="77" bestFit="1" customWidth="1"/>
    <col min="8201" max="8201" width="8.6640625" style="77" bestFit="1" customWidth="1"/>
    <col min="8202" max="8448" width="7.109375" style="77"/>
    <col min="8449" max="8449" width="3.88671875" style="77" customWidth="1"/>
    <col min="8450" max="8450" width="60.88671875" style="77" customWidth="1"/>
    <col min="8451" max="8451" width="10.5546875" style="77" customWidth="1"/>
    <col min="8452" max="8452" width="15.109375" style="77" customWidth="1"/>
    <col min="8453" max="8453" width="16.6640625" style="77" customWidth="1"/>
    <col min="8454" max="8454" width="15.109375" style="77" customWidth="1"/>
    <col min="8455" max="8456" width="13.5546875" style="77" bestFit="1" customWidth="1"/>
    <col min="8457" max="8457" width="8.6640625" style="77" bestFit="1" customWidth="1"/>
    <col min="8458" max="8704" width="7.109375" style="77"/>
    <col min="8705" max="8705" width="3.88671875" style="77" customWidth="1"/>
    <col min="8706" max="8706" width="60.88671875" style="77" customWidth="1"/>
    <col min="8707" max="8707" width="10.5546875" style="77" customWidth="1"/>
    <col min="8708" max="8708" width="15.109375" style="77" customWidth="1"/>
    <col min="8709" max="8709" width="16.6640625" style="77" customWidth="1"/>
    <col min="8710" max="8710" width="15.109375" style="77" customWidth="1"/>
    <col min="8711" max="8712" width="13.5546875" style="77" bestFit="1" customWidth="1"/>
    <col min="8713" max="8713" width="8.6640625" style="77" bestFit="1" customWidth="1"/>
    <col min="8714" max="8960" width="7.109375" style="77"/>
    <col min="8961" max="8961" width="3.88671875" style="77" customWidth="1"/>
    <col min="8962" max="8962" width="60.88671875" style="77" customWidth="1"/>
    <col min="8963" max="8963" width="10.5546875" style="77" customWidth="1"/>
    <col min="8964" max="8964" width="15.109375" style="77" customWidth="1"/>
    <col min="8965" max="8965" width="16.6640625" style="77" customWidth="1"/>
    <col min="8966" max="8966" width="15.109375" style="77" customWidth="1"/>
    <col min="8967" max="8968" width="13.5546875" style="77" bestFit="1" customWidth="1"/>
    <col min="8969" max="8969" width="8.6640625" style="77" bestFit="1" customWidth="1"/>
    <col min="8970" max="9216" width="8.88671875" style="77"/>
    <col min="9217" max="9217" width="3.88671875" style="77" customWidth="1"/>
    <col min="9218" max="9218" width="60.88671875" style="77" customWidth="1"/>
    <col min="9219" max="9219" width="10.5546875" style="77" customWidth="1"/>
    <col min="9220" max="9220" width="15.109375" style="77" customWidth="1"/>
    <col min="9221" max="9221" width="16.6640625" style="77" customWidth="1"/>
    <col min="9222" max="9222" width="15.109375" style="77" customWidth="1"/>
    <col min="9223" max="9224" width="13.5546875" style="77" bestFit="1" customWidth="1"/>
    <col min="9225" max="9225" width="8.6640625" style="77" bestFit="1" customWidth="1"/>
    <col min="9226" max="9472" width="7.109375" style="77"/>
    <col min="9473" max="9473" width="3.88671875" style="77" customWidth="1"/>
    <col min="9474" max="9474" width="60.88671875" style="77" customWidth="1"/>
    <col min="9475" max="9475" width="10.5546875" style="77" customWidth="1"/>
    <col min="9476" max="9476" width="15.109375" style="77" customWidth="1"/>
    <col min="9477" max="9477" width="16.6640625" style="77" customWidth="1"/>
    <col min="9478" max="9478" width="15.109375" style="77" customWidth="1"/>
    <col min="9479" max="9480" width="13.5546875" style="77" bestFit="1" customWidth="1"/>
    <col min="9481" max="9481" width="8.6640625" style="77" bestFit="1" customWidth="1"/>
    <col min="9482" max="9728" width="7.109375" style="77"/>
    <col min="9729" max="9729" width="3.88671875" style="77" customWidth="1"/>
    <col min="9730" max="9730" width="60.88671875" style="77" customWidth="1"/>
    <col min="9731" max="9731" width="10.5546875" style="77" customWidth="1"/>
    <col min="9732" max="9732" width="15.109375" style="77" customWidth="1"/>
    <col min="9733" max="9733" width="16.6640625" style="77" customWidth="1"/>
    <col min="9734" max="9734" width="15.109375" style="77" customWidth="1"/>
    <col min="9735" max="9736" width="13.5546875" style="77" bestFit="1" customWidth="1"/>
    <col min="9737" max="9737" width="8.6640625" style="77" bestFit="1" customWidth="1"/>
    <col min="9738" max="9984" width="7.109375" style="77"/>
    <col min="9985" max="9985" width="3.88671875" style="77" customWidth="1"/>
    <col min="9986" max="9986" width="60.88671875" style="77" customWidth="1"/>
    <col min="9987" max="9987" width="10.5546875" style="77" customWidth="1"/>
    <col min="9988" max="9988" width="15.109375" style="77" customWidth="1"/>
    <col min="9989" max="9989" width="16.6640625" style="77" customWidth="1"/>
    <col min="9990" max="9990" width="15.109375" style="77" customWidth="1"/>
    <col min="9991" max="9992" width="13.5546875" style="77" bestFit="1" customWidth="1"/>
    <col min="9993" max="9993" width="8.6640625" style="77" bestFit="1" customWidth="1"/>
    <col min="9994" max="10240" width="8.88671875" style="77"/>
    <col min="10241" max="10241" width="3.88671875" style="77" customWidth="1"/>
    <col min="10242" max="10242" width="60.88671875" style="77" customWidth="1"/>
    <col min="10243" max="10243" width="10.5546875" style="77" customWidth="1"/>
    <col min="10244" max="10244" width="15.109375" style="77" customWidth="1"/>
    <col min="10245" max="10245" width="16.6640625" style="77" customWidth="1"/>
    <col min="10246" max="10246" width="15.109375" style="77" customWidth="1"/>
    <col min="10247" max="10248" width="13.5546875" style="77" bestFit="1" customWidth="1"/>
    <col min="10249" max="10249" width="8.6640625" style="77" bestFit="1" customWidth="1"/>
    <col min="10250" max="10496" width="7.109375" style="77"/>
    <col min="10497" max="10497" width="3.88671875" style="77" customWidth="1"/>
    <col min="10498" max="10498" width="60.88671875" style="77" customWidth="1"/>
    <col min="10499" max="10499" width="10.5546875" style="77" customWidth="1"/>
    <col min="10500" max="10500" width="15.109375" style="77" customWidth="1"/>
    <col min="10501" max="10501" width="16.6640625" style="77" customWidth="1"/>
    <col min="10502" max="10502" width="15.109375" style="77" customWidth="1"/>
    <col min="10503" max="10504" width="13.5546875" style="77" bestFit="1" customWidth="1"/>
    <col min="10505" max="10505" width="8.6640625" style="77" bestFit="1" customWidth="1"/>
    <col min="10506" max="10752" width="7.109375" style="77"/>
    <col min="10753" max="10753" width="3.88671875" style="77" customWidth="1"/>
    <col min="10754" max="10754" width="60.88671875" style="77" customWidth="1"/>
    <col min="10755" max="10755" width="10.5546875" style="77" customWidth="1"/>
    <col min="10756" max="10756" width="15.109375" style="77" customWidth="1"/>
    <col min="10757" max="10757" width="16.6640625" style="77" customWidth="1"/>
    <col min="10758" max="10758" width="15.109375" style="77" customWidth="1"/>
    <col min="10759" max="10760" width="13.5546875" style="77" bestFit="1" customWidth="1"/>
    <col min="10761" max="10761" width="8.6640625" style="77" bestFit="1" customWidth="1"/>
    <col min="10762" max="11008" width="7.109375" style="77"/>
    <col min="11009" max="11009" width="3.88671875" style="77" customWidth="1"/>
    <col min="11010" max="11010" width="60.88671875" style="77" customWidth="1"/>
    <col min="11011" max="11011" width="10.5546875" style="77" customWidth="1"/>
    <col min="11012" max="11012" width="15.109375" style="77" customWidth="1"/>
    <col min="11013" max="11013" width="16.6640625" style="77" customWidth="1"/>
    <col min="11014" max="11014" width="15.109375" style="77" customWidth="1"/>
    <col min="11015" max="11016" width="13.5546875" style="77" bestFit="1" customWidth="1"/>
    <col min="11017" max="11017" width="8.6640625" style="77" bestFit="1" customWidth="1"/>
    <col min="11018" max="11264" width="8.88671875" style="77"/>
    <col min="11265" max="11265" width="3.88671875" style="77" customWidth="1"/>
    <col min="11266" max="11266" width="60.88671875" style="77" customWidth="1"/>
    <col min="11267" max="11267" width="10.5546875" style="77" customWidth="1"/>
    <col min="11268" max="11268" width="15.109375" style="77" customWidth="1"/>
    <col min="11269" max="11269" width="16.6640625" style="77" customWidth="1"/>
    <col min="11270" max="11270" width="15.109375" style="77" customWidth="1"/>
    <col min="11271" max="11272" width="13.5546875" style="77" bestFit="1" customWidth="1"/>
    <col min="11273" max="11273" width="8.6640625" style="77" bestFit="1" customWidth="1"/>
    <col min="11274" max="11520" width="7.109375" style="77"/>
    <col min="11521" max="11521" width="3.88671875" style="77" customWidth="1"/>
    <col min="11522" max="11522" width="60.88671875" style="77" customWidth="1"/>
    <col min="11523" max="11523" width="10.5546875" style="77" customWidth="1"/>
    <col min="11524" max="11524" width="15.109375" style="77" customWidth="1"/>
    <col min="11525" max="11525" width="16.6640625" style="77" customWidth="1"/>
    <col min="11526" max="11526" width="15.109375" style="77" customWidth="1"/>
    <col min="11527" max="11528" width="13.5546875" style="77" bestFit="1" customWidth="1"/>
    <col min="11529" max="11529" width="8.6640625" style="77" bestFit="1" customWidth="1"/>
    <col min="11530" max="11776" width="7.109375" style="77"/>
    <col min="11777" max="11777" width="3.88671875" style="77" customWidth="1"/>
    <col min="11778" max="11778" width="60.88671875" style="77" customWidth="1"/>
    <col min="11779" max="11779" width="10.5546875" style="77" customWidth="1"/>
    <col min="11780" max="11780" width="15.109375" style="77" customWidth="1"/>
    <col min="11781" max="11781" width="16.6640625" style="77" customWidth="1"/>
    <col min="11782" max="11782" width="15.109375" style="77" customWidth="1"/>
    <col min="11783" max="11784" width="13.5546875" style="77" bestFit="1" customWidth="1"/>
    <col min="11785" max="11785" width="8.6640625" style="77" bestFit="1" customWidth="1"/>
    <col min="11786" max="12032" width="7.109375" style="77"/>
    <col min="12033" max="12033" width="3.88671875" style="77" customWidth="1"/>
    <col min="12034" max="12034" width="60.88671875" style="77" customWidth="1"/>
    <col min="12035" max="12035" width="10.5546875" style="77" customWidth="1"/>
    <col min="12036" max="12036" width="15.109375" style="77" customWidth="1"/>
    <col min="12037" max="12037" width="16.6640625" style="77" customWidth="1"/>
    <col min="12038" max="12038" width="15.109375" style="77" customWidth="1"/>
    <col min="12039" max="12040" width="13.5546875" style="77" bestFit="1" customWidth="1"/>
    <col min="12041" max="12041" width="8.6640625" style="77" bestFit="1" customWidth="1"/>
    <col min="12042" max="12288" width="8.88671875" style="77"/>
    <col min="12289" max="12289" width="3.88671875" style="77" customWidth="1"/>
    <col min="12290" max="12290" width="60.88671875" style="77" customWidth="1"/>
    <col min="12291" max="12291" width="10.5546875" style="77" customWidth="1"/>
    <col min="12292" max="12292" width="15.109375" style="77" customWidth="1"/>
    <col min="12293" max="12293" width="16.6640625" style="77" customWidth="1"/>
    <col min="12294" max="12294" width="15.109375" style="77" customWidth="1"/>
    <col min="12295" max="12296" width="13.5546875" style="77" bestFit="1" customWidth="1"/>
    <col min="12297" max="12297" width="8.6640625" style="77" bestFit="1" customWidth="1"/>
    <col min="12298" max="12544" width="7.109375" style="77"/>
    <col min="12545" max="12545" width="3.88671875" style="77" customWidth="1"/>
    <col min="12546" max="12546" width="60.88671875" style="77" customWidth="1"/>
    <col min="12547" max="12547" width="10.5546875" style="77" customWidth="1"/>
    <col min="12548" max="12548" width="15.109375" style="77" customWidth="1"/>
    <col min="12549" max="12549" width="16.6640625" style="77" customWidth="1"/>
    <col min="12550" max="12550" width="15.109375" style="77" customWidth="1"/>
    <col min="12551" max="12552" width="13.5546875" style="77" bestFit="1" customWidth="1"/>
    <col min="12553" max="12553" width="8.6640625" style="77" bestFit="1" customWidth="1"/>
    <col min="12554" max="12800" width="7.109375" style="77"/>
    <col min="12801" max="12801" width="3.88671875" style="77" customWidth="1"/>
    <col min="12802" max="12802" width="60.88671875" style="77" customWidth="1"/>
    <col min="12803" max="12803" width="10.5546875" style="77" customWidth="1"/>
    <col min="12804" max="12804" width="15.109375" style="77" customWidth="1"/>
    <col min="12805" max="12805" width="16.6640625" style="77" customWidth="1"/>
    <col min="12806" max="12806" width="15.109375" style="77" customWidth="1"/>
    <col min="12807" max="12808" width="13.5546875" style="77" bestFit="1" customWidth="1"/>
    <col min="12809" max="12809" width="8.6640625" style="77" bestFit="1" customWidth="1"/>
    <col min="12810" max="13056" width="7.109375" style="77"/>
    <col min="13057" max="13057" width="3.88671875" style="77" customWidth="1"/>
    <col min="13058" max="13058" width="60.88671875" style="77" customWidth="1"/>
    <col min="13059" max="13059" width="10.5546875" style="77" customWidth="1"/>
    <col min="13060" max="13060" width="15.109375" style="77" customWidth="1"/>
    <col min="13061" max="13061" width="16.6640625" style="77" customWidth="1"/>
    <col min="13062" max="13062" width="15.109375" style="77" customWidth="1"/>
    <col min="13063" max="13064" width="13.5546875" style="77" bestFit="1" customWidth="1"/>
    <col min="13065" max="13065" width="8.6640625" style="77" bestFit="1" customWidth="1"/>
    <col min="13066" max="13312" width="8.88671875" style="77"/>
    <col min="13313" max="13313" width="3.88671875" style="77" customWidth="1"/>
    <col min="13314" max="13314" width="60.88671875" style="77" customWidth="1"/>
    <col min="13315" max="13315" width="10.5546875" style="77" customWidth="1"/>
    <col min="13316" max="13316" width="15.109375" style="77" customWidth="1"/>
    <col min="13317" max="13317" width="16.6640625" style="77" customWidth="1"/>
    <col min="13318" max="13318" width="15.109375" style="77" customWidth="1"/>
    <col min="13319" max="13320" width="13.5546875" style="77" bestFit="1" customWidth="1"/>
    <col min="13321" max="13321" width="8.6640625" style="77" bestFit="1" customWidth="1"/>
    <col min="13322" max="13568" width="7.109375" style="77"/>
    <col min="13569" max="13569" width="3.88671875" style="77" customWidth="1"/>
    <col min="13570" max="13570" width="60.88671875" style="77" customWidth="1"/>
    <col min="13571" max="13571" width="10.5546875" style="77" customWidth="1"/>
    <col min="13572" max="13572" width="15.109375" style="77" customWidth="1"/>
    <col min="13573" max="13573" width="16.6640625" style="77" customWidth="1"/>
    <col min="13574" max="13574" width="15.109375" style="77" customWidth="1"/>
    <col min="13575" max="13576" width="13.5546875" style="77" bestFit="1" customWidth="1"/>
    <col min="13577" max="13577" width="8.6640625" style="77" bestFit="1" customWidth="1"/>
    <col min="13578" max="13824" width="7.109375" style="77"/>
    <col min="13825" max="13825" width="3.88671875" style="77" customWidth="1"/>
    <col min="13826" max="13826" width="60.88671875" style="77" customWidth="1"/>
    <col min="13827" max="13827" width="10.5546875" style="77" customWidth="1"/>
    <col min="13828" max="13828" width="15.109375" style="77" customWidth="1"/>
    <col min="13829" max="13829" width="16.6640625" style="77" customWidth="1"/>
    <col min="13830" max="13830" width="15.109375" style="77" customWidth="1"/>
    <col min="13831" max="13832" width="13.5546875" style="77" bestFit="1" customWidth="1"/>
    <col min="13833" max="13833" width="8.6640625" style="77" bestFit="1" customWidth="1"/>
    <col min="13834" max="14080" width="7.109375" style="77"/>
    <col min="14081" max="14081" width="3.88671875" style="77" customWidth="1"/>
    <col min="14082" max="14082" width="60.88671875" style="77" customWidth="1"/>
    <col min="14083" max="14083" width="10.5546875" style="77" customWidth="1"/>
    <col min="14084" max="14084" width="15.109375" style="77" customWidth="1"/>
    <col min="14085" max="14085" width="16.6640625" style="77" customWidth="1"/>
    <col min="14086" max="14086" width="15.109375" style="77" customWidth="1"/>
    <col min="14087" max="14088" width="13.5546875" style="77" bestFit="1" customWidth="1"/>
    <col min="14089" max="14089" width="8.6640625" style="77" bestFit="1" customWidth="1"/>
    <col min="14090" max="14336" width="8.88671875" style="77"/>
    <col min="14337" max="14337" width="3.88671875" style="77" customWidth="1"/>
    <col min="14338" max="14338" width="60.88671875" style="77" customWidth="1"/>
    <col min="14339" max="14339" width="10.5546875" style="77" customWidth="1"/>
    <col min="14340" max="14340" width="15.109375" style="77" customWidth="1"/>
    <col min="14341" max="14341" width="16.6640625" style="77" customWidth="1"/>
    <col min="14342" max="14342" width="15.109375" style="77" customWidth="1"/>
    <col min="14343" max="14344" width="13.5546875" style="77" bestFit="1" customWidth="1"/>
    <col min="14345" max="14345" width="8.6640625" style="77" bestFit="1" customWidth="1"/>
    <col min="14346" max="14592" width="7.109375" style="77"/>
    <col min="14593" max="14593" width="3.88671875" style="77" customWidth="1"/>
    <col min="14594" max="14594" width="60.88671875" style="77" customWidth="1"/>
    <col min="14595" max="14595" width="10.5546875" style="77" customWidth="1"/>
    <col min="14596" max="14596" width="15.109375" style="77" customWidth="1"/>
    <col min="14597" max="14597" width="16.6640625" style="77" customWidth="1"/>
    <col min="14598" max="14598" width="15.109375" style="77" customWidth="1"/>
    <col min="14599" max="14600" width="13.5546875" style="77" bestFit="1" customWidth="1"/>
    <col min="14601" max="14601" width="8.6640625" style="77" bestFit="1" customWidth="1"/>
    <col min="14602" max="14848" width="7.109375" style="77"/>
    <col min="14849" max="14849" width="3.88671875" style="77" customWidth="1"/>
    <col min="14850" max="14850" width="60.88671875" style="77" customWidth="1"/>
    <col min="14851" max="14851" width="10.5546875" style="77" customWidth="1"/>
    <col min="14852" max="14852" width="15.109375" style="77" customWidth="1"/>
    <col min="14853" max="14853" width="16.6640625" style="77" customWidth="1"/>
    <col min="14854" max="14854" width="15.109375" style="77" customWidth="1"/>
    <col min="14855" max="14856" width="13.5546875" style="77" bestFit="1" customWidth="1"/>
    <col min="14857" max="14857" width="8.6640625" style="77" bestFit="1" customWidth="1"/>
    <col min="14858" max="15104" width="7.109375" style="77"/>
    <col min="15105" max="15105" width="3.88671875" style="77" customWidth="1"/>
    <col min="15106" max="15106" width="60.88671875" style="77" customWidth="1"/>
    <col min="15107" max="15107" width="10.5546875" style="77" customWidth="1"/>
    <col min="15108" max="15108" width="15.109375" style="77" customWidth="1"/>
    <col min="15109" max="15109" width="16.6640625" style="77" customWidth="1"/>
    <col min="15110" max="15110" width="15.109375" style="77" customWidth="1"/>
    <col min="15111" max="15112" width="13.5546875" style="77" bestFit="1" customWidth="1"/>
    <col min="15113" max="15113" width="8.6640625" style="77" bestFit="1" customWidth="1"/>
    <col min="15114" max="15360" width="8.88671875" style="77"/>
    <col min="15361" max="15361" width="3.88671875" style="77" customWidth="1"/>
    <col min="15362" max="15362" width="60.88671875" style="77" customWidth="1"/>
    <col min="15363" max="15363" width="10.5546875" style="77" customWidth="1"/>
    <col min="15364" max="15364" width="15.109375" style="77" customWidth="1"/>
    <col min="15365" max="15365" width="16.6640625" style="77" customWidth="1"/>
    <col min="15366" max="15366" width="15.109375" style="77" customWidth="1"/>
    <col min="15367" max="15368" width="13.5546875" style="77" bestFit="1" customWidth="1"/>
    <col min="15369" max="15369" width="8.6640625" style="77" bestFit="1" customWidth="1"/>
    <col min="15370" max="15616" width="7.109375" style="77"/>
    <col min="15617" max="15617" width="3.88671875" style="77" customWidth="1"/>
    <col min="15618" max="15618" width="60.88671875" style="77" customWidth="1"/>
    <col min="15619" max="15619" width="10.5546875" style="77" customWidth="1"/>
    <col min="15620" max="15620" width="15.109375" style="77" customWidth="1"/>
    <col min="15621" max="15621" width="16.6640625" style="77" customWidth="1"/>
    <col min="15622" max="15622" width="15.109375" style="77" customWidth="1"/>
    <col min="15623" max="15624" width="13.5546875" style="77" bestFit="1" customWidth="1"/>
    <col min="15625" max="15625" width="8.6640625" style="77" bestFit="1" customWidth="1"/>
    <col min="15626" max="15872" width="7.109375" style="77"/>
    <col min="15873" max="15873" width="3.88671875" style="77" customWidth="1"/>
    <col min="15874" max="15874" width="60.88671875" style="77" customWidth="1"/>
    <col min="15875" max="15875" width="10.5546875" style="77" customWidth="1"/>
    <col min="15876" max="15876" width="15.109375" style="77" customWidth="1"/>
    <col min="15877" max="15877" width="16.6640625" style="77" customWidth="1"/>
    <col min="15878" max="15878" width="15.109375" style="77" customWidth="1"/>
    <col min="15879" max="15880" width="13.5546875" style="77" bestFit="1" customWidth="1"/>
    <col min="15881" max="15881" width="8.6640625" style="77" bestFit="1" customWidth="1"/>
    <col min="15882" max="16128" width="7.109375" style="77"/>
    <col min="16129" max="16129" width="3.88671875" style="77" customWidth="1"/>
    <col min="16130" max="16130" width="60.88671875" style="77" customWidth="1"/>
    <col min="16131" max="16131" width="10.5546875" style="77" customWidth="1"/>
    <col min="16132" max="16132" width="15.109375" style="77" customWidth="1"/>
    <col min="16133" max="16133" width="16.6640625" style="77" customWidth="1"/>
    <col min="16134" max="16134" width="15.109375" style="77" customWidth="1"/>
    <col min="16135" max="16136" width="13.5546875" style="77" bestFit="1" customWidth="1"/>
    <col min="16137" max="16137" width="8.6640625" style="77" bestFit="1" customWidth="1"/>
    <col min="16138" max="16384" width="8.88671875" style="77"/>
  </cols>
  <sheetData>
    <row r="1" spans="1:23">
      <c r="A1" s="439" t="s">
        <v>338</v>
      </c>
      <c r="B1" s="440"/>
      <c r="C1" s="440"/>
      <c r="D1" s="440"/>
      <c r="E1" s="440"/>
      <c r="F1" s="440"/>
      <c r="G1" s="440"/>
      <c r="H1" s="440"/>
      <c r="I1" s="440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</row>
    <row r="2" spans="1:23">
      <c r="A2" s="441" t="s">
        <v>529</v>
      </c>
      <c r="B2" s="441"/>
      <c r="C2" s="441"/>
      <c r="D2" s="441"/>
      <c r="E2" s="441"/>
      <c r="F2" s="441"/>
      <c r="G2" s="441"/>
      <c r="H2" s="441"/>
      <c r="I2" s="441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</row>
    <row r="3" spans="1:23">
      <c r="A3" s="78"/>
      <c r="B3" s="79"/>
      <c r="C3" s="79"/>
      <c r="D3" s="80"/>
      <c r="E3" s="80"/>
      <c r="F3" s="81"/>
      <c r="G3" s="80"/>
      <c r="H3" s="80"/>
      <c r="I3" s="80"/>
      <c r="J3" s="82"/>
      <c r="K3" s="83"/>
      <c r="L3" s="83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</row>
    <row r="4" spans="1:23">
      <c r="A4" s="84"/>
      <c r="B4" s="85"/>
      <c r="C4" s="85"/>
      <c r="D4" s="86"/>
      <c r="E4" s="86"/>
      <c r="F4" s="87"/>
      <c r="G4" s="86"/>
      <c r="H4" s="86"/>
      <c r="I4" s="86"/>
      <c r="J4" s="88"/>
      <c r="K4" s="83"/>
      <c r="L4" s="83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</row>
    <row r="5" spans="1:23">
      <c r="A5" s="89" t="s">
        <v>475</v>
      </c>
      <c r="B5" s="90"/>
      <c r="C5" s="91" t="s">
        <v>469</v>
      </c>
      <c r="D5" s="92" t="s">
        <v>10</v>
      </c>
      <c r="E5" s="92" t="s">
        <v>473</v>
      </c>
      <c r="F5" s="93" t="s">
        <v>10</v>
      </c>
      <c r="G5" s="94" t="s">
        <v>10</v>
      </c>
      <c r="H5" s="92" t="s">
        <v>10</v>
      </c>
      <c r="I5" s="95" t="s">
        <v>10</v>
      </c>
      <c r="J5" s="95" t="s">
        <v>10</v>
      </c>
      <c r="K5" s="83"/>
      <c r="L5" s="83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</row>
    <row r="6" spans="1:23">
      <c r="A6" s="96" t="s">
        <v>315</v>
      </c>
      <c r="B6" s="94" t="s">
        <v>491</v>
      </c>
      <c r="C6" s="97" t="s">
        <v>470</v>
      </c>
      <c r="D6" s="96" t="s">
        <v>284</v>
      </c>
      <c r="E6" s="96" t="s">
        <v>10</v>
      </c>
      <c r="F6" s="98" t="s">
        <v>284</v>
      </c>
      <c r="G6" s="99" t="s">
        <v>284</v>
      </c>
      <c r="H6" s="96" t="s">
        <v>284</v>
      </c>
      <c r="I6" s="100" t="s">
        <v>284</v>
      </c>
      <c r="J6" s="100" t="s">
        <v>284</v>
      </c>
      <c r="K6" s="83"/>
      <c r="L6" s="83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</row>
    <row r="7" spans="1:23">
      <c r="A7" s="101" t="s">
        <v>286</v>
      </c>
      <c r="B7" s="100"/>
      <c r="C7" s="102" t="s">
        <v>14</v>
      </c>
      <c r="D7" s="103" t="s">
        <v>14</v>
      </c>
      <c r="E7" s="103" t="s">
        <v>14</v>
      </c>
      <c r="F7" s="104" t="s">
        <v>15</v>
      </c>
      <c r="G7" s="103" t="s">
        <v>272</v>
      </c>
      <c r="H7" s="105" t="s">
        <v>285</v>
      </c>
      <c r="I7" s="103" t="s">
        <v>318</v>
      </c>
      <c r="J7" s="106" t="s">
        <v>523</v>
      </c>
      <c r="K7" s="83"/>
      <c r="L7" s="83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</row>
    <row r="8" spans="1:23">
      <c r="A8" s="84" t="s">
        <v>289</v>
      </c>
      <c r="B8" s="107">
        <v>8035</v>
      </c>
      <c r="C8" s="108">
        <v>15521.28</v>
      </c>
      <c r="D8" s="109">
        <v>80000</v>
      </c>
      <c r="E8" s="109">
        <f>+D8</f>
        <v>80000</v>
      </c>
      <c r="F8" s="87">
        <v>40000</v>
      </c>
      <c r="G8" s="110">
        <v>50000</v>
      </c>
      <c r="H8" s="109">
        <f>+G8</f>
        <v>50000</v>
      </c>
      <c r="I8" s="111">
        <v>100000</v>
      </c>
      <c r="J8" s="112">
        <f>I8</f>
        <v>100000</v>
      </c>
      <c r="K8" s="83"/>
      <c r="L8" s="83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</row>
    <row r="9" spans="1:23">
      <c r="A9" s="84" t="s">
        <v>336</v>
      </c>
      <c r="B9" s="107">
        <v>8639</v>
      </c>
      <c r="C9" s="108">
        <v>0</v>
      </c>
      <c r="D9" s="109">
        <v>20000</v>
      </c>
      <c r="E9" s="109">
        <f>D9</f>
        <v>20000</v>
      </c>
      <c r="F9" s="87">
        <v>30000</v>
      </c>
      <c r="G9" s="110">
        <v>20000</v>
      </c>
      <c r="H9" s="109">
        <v>20000</v>
      </c>
      <c r="I9" s="111">
        <v>20000</v>
      </c>
      <c r="J9" s="109">
        <f>I9</f>
        <v>20000</v>
      </c>
      <c r="K9" s="83"/>
      <c r="L9" s="83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</row>
    <row r="10" spans="1:23">
      <c r="A10" s="84" t="s">
        <v>540</v>
      </c>
      <c r="B10" s="107"/>
      <c r="C10" s="108"/>
      <c r="D10" s="109"/>
      <c r="E10" s="109"/>
      <c r="F10" s="87">
        <v>10000</v>
      </c>
      <c r="G10" s="110"/>
      <c r="H10" s="109"/>
      <c r="I10" s="111"/>
      <c r="J10" s="109"/>
      <c r="K10" s="83"/>
      <c r="L10" s="83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</row>
    <row r="11" spans="1:23" ht="35.25" thickBot="1">
      <c r="A11" s="113"/>
      <c r="B11" s="114"/>
      <c r="C11" s="115">
        <f>SUM(C8:C10)</f>
        <v>15521.28</v>
      </c>
      <c r="D11" s="116">
        <f t="shared" ref="D11:J11" si="0">SUM(D8:D10)</f>
        <v>100000</v>
      </c>
      <c r="E11" s="116">
        <f t="shared" si="0"/>
        <v>100000</v>
      </c>
      <c r="F11" s="117">
        <f t="shared" si="0"/>
        <v>80000</v>
      </c>
      <c r="G11" s="116">
        <f t="shared" si="0"/>
        <v>70000</v>
      </c>
      <c r="H11" s="116">
        <f t="shared" si="0"/>
        <v>70000</v>
      </c>
      <c r="I11" s="116">
        <f t="shared" si="0"/>
        <v>120000</v>
      </c>
      <c r="J11" s="116">
        <f t="shared" si="0"/>
        <v>120000</v>
      </c>
      <c r="K11" s="83"/>
      <c r="L11" s="83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</row>
    <row r="12" spans="1:23" ht="35.25" thickTop="1">
      <c r="A12" s="96"/>
      <c r="B12" s="118"/>
      <c r="C12" s="119"/>
      <c r="D12" s="120"/>
      <c r="E12" s="120"/>
      <c r="F12" s="121"/>
      <c r="G12" s="120"/>
      <c r="H12" s="120"/>
      <c r="I12" s="120"/>
      <c r="J12" s="88"/>
      <c r="K12" s="83"/>
      <c r="L12" s="83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</row>
    <row r="13" spans="1:23">
      <c r="A13" s="96"/>
      <c r="B13" s="118"/>
      <c r="C13" s="118"/>
      <c r="D13" s="120"/>
      <c r="E13" s="120"/>
      <c r="F13" s="121"/>
      <c r="G13" s="120"/>
      <c r="H13" s="120"/>
      <c r="I13" s="86"/>
      <c r="J13" s="88"/>
      <c r="K13" s="83"/>
      <c r="L13" s="83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</row>
    <row r="14" spans="1:23">
      <c r="A14" s="95" t="s">
        <v>1</v>
      </c>
      <c r="B14" s="122"/>
      <c r="C14" s="95"/>
      <c r="D14" s="112"/>
      <c r="E14" s="112"/>
      <c r="F14" s="81"/>
      <c r="G14" s="112"/>
      <c r="H14" s="123"/>
      <c r="I14" s="112"/>
      <c r="J14" s="95" t="s">
        <v>10</v>
      </c>
      <c r="K14" s="83"/>
      <c r="L14" s="83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</row>
    <row r="15" spans="1:23">
      <c r="A15" s="99" t="s">
        <v>315</v>
      </c>
      <c r="B15" s="99" t="s">
        <v>490</v>
      </c>
      <c r="C15" s="100"/>
      <c r="D15" s="109"/>
      <c r="E15" s="109"/>
      <c r="F15" s="87"/>
      <c r="G15" s="109"/>
      <c r="H15" s="110"/>
      <c r="I15" s="109"/>
      <c r="J15" s="100" t="s">
        <v>284</v>
      </c>
      <c r="K15" s="83"/>
      <c r="L15" s="83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</row>
    <row r="16" spans="1:23">
      <c r="A16" s="124" t="s">
        <v>290</v>
      </c>
      <c r="B16" s="99"/>
      <c r="C16" s="103" t="s">
        <v>14</v>
      </c>
      <c r="D16" s="103" t="s">
        <v>14</v>
      </c>
      <c r="E16" s="103" t="s">
        <v>14</v>
      </c>
      <c r="F16" s="104" t="s">
        <v>15</v>
      </c>
      <c r="G16" s="103" t="s">
        <v>272</v>
      </c>
      <c r="H16" s="105" t="s">
        <v>285</v>
      </c>
      <c r="I16" s="103" t="s">
        <v>318</v>
      </c>
      <c r="J16" s="106" t="s">
        <v>523</v>
      </c>
      <c r="K16" s="83"/>
      <c r="L16" s="83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</row>
    <row r="17" spans="1:23">
      <c r="A17" s="125" t="s">
        <v>291</v>
      </c>
      <c r="B17" s="107">
        <v>8035</v>
      </c>
      <c r="C17" s="126">
        <v>4319</v>
      </c>
      <c r="D17" s="109">
        <v>100000</v>
      </c>
      <c r="E17" s="109">
        <f>+D17/2</f>
        <v>50000</v>
      </c>
      <c r="F17" s="87">
        <v>20000</v>
      </c>
      <c r="G17" s="109">
        <v>50000</v>
      </c>
      <c r="H17" s="110">
        <v>50000</v>
      </c>
      <c r="I17" s="127">
        <f>H17</f>
        <v>50000</v>
      </c>
      <c r="J17" s="88">
        <f>I17</f>
        <v>50000</v>
      </c>
      <c r="K17" s="83"/>
      <c r="L17" s="83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</row>
    <row r="18" spans="1:23">
      <c r="A18" s="125" t="s">
        <v>524</v>
      </c>
      <c r="B18" s="107">
        <v>8639</v>
      </c>
      <c r="C18" s="126">
        <v>0</v>
      </c>
      <c r="D18" s="109">
        <v>50000</v>
      </c>
      <c r="E18" s="109">
        <f>+D18/2</f>
        <v>25000</v>
      </c>
      <c r="F18" s="87">
        <v>20000</v>
      </c>
      <c r="G18" s="109">
        <v>30000</v>
      </c>
      <c r="H18" s="110">
        <v>30000</v>
      </c>
      <c r="I18" s="127">
        <f>H18</f>
        <v>30000</v>
      </c>
      <c r="J18" s="88">
        <f>I18</f>
        <v>30000</v>
      </c>
      <c r="K18" s="83"/>
      <c r="L18" s="83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</row>
    <row r="19" spans="1:23" ht="35.25" thickBot="1">
      <c r="A19" s="125"/>
      <c r="B19" s="107"/>
      <c r="C19" s="128">
        <f t="shared" ref="C19:J19" si="1">SUM(C17:C18)</f>
        <v>4319</v>
      </c>
      <c r="D19" s="128">
        <f t="shared" si="1"/>
        <v>150000</v>
      </c>
      <c r="E19" s="128">
        <f t="shared" si="1"/>
        <v>75000</v>
      </c>
      <c r="F19" s="129">
        <f t="shared" si="1"/>
        <v>40000</v>
      </c>
      <c r="G19" s="128">
        <f t="shared" si="1"/>
        <v>80000</v>
      </c>
      <c r="H19" s="128">
        <f t="shared" si="1"/>
        <v>80000</v>
      </c>
      <c r="I19" s="128">
        <f t="shared" si="1"/>
        <v>80000</v>
      </c>
      <c r="J19" s="116">
        <f t="shared" si="1"/>
        <v>80000</v>
      </c>
      <c r="K19" s="83"/>
      <c r="L19" s="83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</row>
    <row r="20" spans="1:23" ht="35.25" thickTop="1">
      <c r="A20" s="78"/>
      <c r="B20" s="130"/>
      <c r="C20" s="131"/>
      <c r="D20" s="80"/>
      <c r="E20" s="80"/>
      <c r="F20" s="81"/>
      <c r="G20" s="80"/>
      <c r="H20" s="80"/>
      <c r="I20" s="132"/>
      <c r="J20" s="88"/>
      <c r="K20" s="83"/>
      <c r="L20" s="83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</row>
    <row r="21" spans="1:23">
      <c r="A21" s="133"/>
      <c r="B21" s="134"/>
      <c r="C21" s="135"/>
      <c r="D21" s="136"/>
      <c r="E21" s="136"/>
      <c r="F21" s="137"/>
      <c r="G21" s="136"/>
      <c r="H21" s="136"/>
      <c r="I21" s="138"/>
      <c r="J21" s="88"/>
      <c r="K21" s="83"/>
      <c r="L21" s="83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</row>
    <row r="22" spans="1:23">
      <c r="A22" s="101" t="s">
        <v>1</v>
      </c>
      <c r="B22" s="139"/>
      <c r="C22" s="100"/>
      <c r="D22" s="109"/>
      <c r="E22" s="109"/>
      <c r="F22" s="87"/>
      <c r="G22" s="109"/>
      <c r="H22" s="110"/>
      <c r="I22" s="109"/>
      <c r="J22" s="95" t="s">
        <v>10</v>
      </c>
      <c r="K22" s="83"/>
      <c r="L22" s="83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</row>
    <row r="23" spans="1:23">
      <c r="A23" s="96" t="s">
        <v>315</v>
      </c>
      <c r="B23" s="99"/>
      <c r="C23" s="100"/>
      <c r="D23" s="109"/>
      <c r="E23" s="109"/>
      <c r="F23" s="87"/>
      <c r="G23" s="109"/>
      <c r="H23" s="110"/>
      <c r="I23" s="109"/>
      <c r="J23" s="100" t="s">
        <v>284</v>
      </c>
      <c r="K23" s="83"/>
      <c r="L23" s="83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</row>
    <row r="24" spans="1:23">
      <c r="A24" s="140" t="s">
        <v>541</v>
      </c>
      <c r="B24" s="99"/>
      <c r="C24" s="103" t="s">
        <v>14</v>
      </c>
      <c r="D24" s="103" t="s">
        <v>14</v>
      </c>
      <c r="E24" s="103" t="s">
        <v>14</v>
      </c>
      <c r="F24" s="104" t="s">
        <v>15</v>
      </c>
      <c r="G24" s="103" t="s">
        <v>272</v>
      </c>
      <c r="H24" s="105" t="s">
        <v>285</v>
      </c>
      <c r="I24" s="103" t="s">
        <v>318</v>
      </c>
      <c r="J24" s="106" t="s">
        <v>523</v>
      </c>
      <c r="K24" s="83"/>
      <c r="L24" s="83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</row>
    <row r="25" spans="1:23">
      <c r="A25" s="84" t="s">
        <v>525</v>
      </c>
      <c r="B25" s="99"/>
      <c r="C25" s="141"/>
      <c r="D25" s="141"/>
      <c r="E25" s="141"/>
      <c r="F25" s="142">
        <v>200000</v>
      </c>
      <c r="G25" s="141"/>
      <c r="H25" s="143"/>
      <c r="I25" s="141"/>
      <c r="J25" s="88"/>
      <c r="K25" s="83"/>
      <c r="L25" s="83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</row>
    <row r="26" spans="1:23">
      <c r="A26" s="84"/>
      <c r="B26" s="107"/>
      <c r="C26" s="128">
        <f>SUM(C23:C25)</f>
        <v>0</v>
      </c>
      <c r="D26" s="128">
        <f t="shared" ref="D26" si="2">SUM(D23:D25)</f>
        <v>0</v>
      </c>
      <c r="E26" s="128">
        <f t="shared" ref="E26" si="3">SUM(E23:E25)</f>
        <v>0</v>
      </c>
      <c r="F26" s="129">
        <f t="shared" ref="F26" si="4">SUM(F23:F25)</f>
        <v>200000</v>
      </c>
      <c r="G26" s="128">
        <f t="shared" ref="G26" si="5">SUM(G23:G25)</f>
        <v>0</v>
      </c>
      <c r="H26" s="128">
        <f t="shared" ref="H26" si="6">SUM(H23:H25)</f>
        <v>0</v>
      </c>
      <c r="I26" s="128">
        <f t="shared" ref="I26" si="7">SUM(I23:I25)</f>
        <v>0</v>
      </c>
      <c r="J26" s="128">
        <f t="shared" ref="J26" si="8">SUM(J23:J25)</f>
        <v>0</v>
      </c>
      <c r="K26" s="83"/>
      <c r="L26" s="83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</row>
    <row r="27" spans="1:23">
      <c r="A27" s="78"/>
      <c r="B27" s="130"/>
      <c r="C27" s="130"/>
      <c r="D27" s="144"/>
      <c r="E27" s="144"/>
      <c r="F27" s="145"/>
      <c r="G27" s="144"/>
      <c r="H27" s="144"/>
      <c r="I27" s="80"/>
      <c r="J27" s="82"/>
      <c r="K27" s="83"/>
      <c r="L27" s="83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</row>
    <row r="28" spans="1:23">
      <c r="A28" s="92" t="s">
        <v>1</v>
      </c>
      <c r="B28" s="146"/>
      <c r="C28" s="146"/>
      <c r="D28" s="147"/>
      <c r="E28" s="147"/>
      <c r="F28" s="148"/>
      <c r="G28" s="149"/>
      <c r="H28" s="149"/>
      <c r="I28" s="82"/>
      <c r="J28" s="82"/>
      <c r="K28" s="83"/>
      <c r="L28" s="83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</row>
    <row r="29" spans="1:23">
      <c r="A29" s="96" t="s">
        <v>315</v>
      </c>
      <c r="B29" s="96"/>
      <c r="C29" s="150" t="s">
        <v>14</v>
      </c>
      <c r="D29" s="150" t="s">
        <v>14</v>
      </c>
      <c r="E29" s="150" t="s">
        <v>14</v>
      </c>
      <c r="F29" s="151" t="s">
        <v>15</v>
      </c>
      <c r="G29" s="152" t="s">
        <v>272</v>
      </c>
      <c r="H29" s="152" t="s">
        <v>285</v>
      </c>
      <c r="I29" s="152" t="s">
        <v>318</v>
      </c>
      <c r="J29" s="153" t="s">
        <v>523</v>
      </c>
      <c r="K29" s="83"/>
      <c r="L29" s="83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</row>
    <row r="30" spans="1:23">
      <c r="A30" s="140" t="s">
        <v>293</v>
      </c>
      <c r="B30" s="96" t="s">
        <v>492</v>
      </c>
      <c r="C30" s="150"/>
      <c r="D30" s="150"/>
      <c r="E30" s="150"/>
      <c r="F30" s="151"/>
      <c r="G30" s="152"/>
      <c r="H30" s="152"/>
      <c r="I30" s="152"/>
      <c r="J30" s="153"/>
      <c r="K30" s="83"/>
      <c r="L30" s="83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</row>
    <row r="31" spans="1:23">
      <c r="A31" s="84" t="s">
        <v>294</v>
      </c>
      <c r="B31" s="154">
        <v>8035</v>
      </c>
      <c r="C31" s="155">
        <v>65000</v>
      </c>
      <c r="D31" s="156">
        <v>85000</v>
      </c>
      <c r="E31" s="156">
        <v>85000</v>
      </c>
      <c r="F31" s="157">
        <v>0</v>
      </c>
      <c r="G31" s="158">
        <v>0</v>
      </c>
      <c r="H31" s="158">
        <v>50000</v>
      </c>
      <c r="I31" s="111">
        <v>50000</v>
      </c>
      <c r="J31" s="88">
        <f>I31</f>
        <v>50000</v>
      </c>
      <c r="K31" s="83"/>
      <c r="L31" s="83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</row>
    <row r="32" spans="1:23" ht="69">
      <c r="A32" s="159" t="s">
        <v>295</v>
      </c>
      <c r="B32" s="154"/>
      <c r="C32" s="155">
        <v>0</v>
      </c>
      <c r="D32" s="110">
        <v>0</v>
      </c>
      <c r="E32" s="110">
        <v>0</v>
      </c>
      <c r="F32" s="160">
        <v>100000</v>
      </c>
      <c r="G32" s="88">
        <v>0</v>
      </c>
      <c r="H32" s="88">
        <v>0</v>
      </c>
      <c r="I32" s="111">
        <v>0</v>
      </c>
      <c r="J32" s="111">
        <v>0</v>
      </c>
      <c r="K32" s="83"/>
      <c r="L32" s="83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</row>
    <row r="33" spans="1:23">
      <c r="A33" s="84" t="s">
        <v>542</v>
      </c>
      <c r="B33" s="154"/>
      <c r="C33" s="161">
        <v>0</v>
      </c>
      <c r="D33" s="162">
        <v>0</v>
      </c>
      <c r="E33" s="162">
        <v>0</v>
      </c>
      <c r="F33" s="163">
        <v>100000</v>
      </c>
      <c r="G33" s="164">
        <v>0</v>
      </c>
      <c r="H33" s="164">
        <v>0</v>
      </c>
      <c r="I33" s="138">
        <v>0</v>
      </c>
      <c r="J33" s="138">
        <v>0</v>
      </c>
      <c r="K33" s="83"/>
      <c r="L33" s="83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</row>
    <row r="34" spans="1:23">
      <c r="A34" s="84"/>
      <c r="B34" s="107"/>
      <c r="C34" s="165">
        <f>SUM(C31:C33)</f>
        <v>65000</v>
      </c>
      <c r="D34" s="166">
        <f t="shared" ref="D34" si="9">SUM(D31:D33)</f>
        <v>85000</v>
      </c>
      <c r="E34" s="167">
        <f t="shared" ref="E34" si="10">SUM(E31:E33)</f>
        <v>85000</v>
      </c>
      <c r="F34" s="168">
        <f t="shared" ref="F34" si="11">SUM(F31:F33)</f>
        <v>200000</v>
      </c>
      <c r="G34" s="165">
        <f t="shared" ref="G34" si="12">SUM(G31:G33)</f>
        <v>0</v>
      </c>
      <c r="H34" s="167">
        <f t="shared" ref="H34" si="13">SUM(H31:H33)</f>
        <v>50000</v>
      </c>
      <c r="I34" s="165">
        <f t="shared" ref="I34" si="14">SUM(I31:I33)</f>
        <v>50000</v>
      </c>
      <c r="J34" s="167">
        <f t="shared" ref="J34" si="15">SUM(J31:J33)</f>
        <v>50000</v>
      </c>
      <c r="K34" s="83"/>
      <c r="L34" s="83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</row>
    <row r="35" spans="1:23">
      <c r="A35" s="169"/>
      <c r="B35" s="170"/>
      <c r="C35" s="171"/>
      <c r="D35" s="171"/>
      <c r="E35" s="171"/>
      <c r="F35" s="172"/>
      <c r="G35" s="171"/>
      <c r="H35" s="171"/>
      <c r="I35" s="171"/>
      <c r="J35" s="173"/>
      <c r="K35" s="83"/>
      <c r="L35" s="83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</row>
    <row r="36" spans="1:23">
      <c r="A36" s="96" t="s">
        <v>1</v>
      </c>
      <c r="B36" s="154"/>
      <c r="C36" s="154"/>
      <c r="D36" s="174"/>
      <c r="E36" s="174"/>
      <c r="F36" s="175"/>
      <c r="G36" s="176"/>
      <c r="H36" s="176"/>
      <c r="I36" s="88"/>
      <c r="J36" s="88"/>
      <c r="K36" s="83"/>
      <c r="L36" s="83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</row>
    <row r="37" spans="1:23">
      <c r="A37" s="96" t="s">
        <v>315</v>
      </c>
      <c r="B37" s="96"/>
      <c r="C37" s="150" t="s">
        <v>14</v>
      </c>
      <c r="D37" s="150" t="s">
        <v>14</v>
      </c>
      <c r="E37" s="150" t="s">
        <v>14</v>
      </c>
      <c r="F37" s="151" t="s">
        <v>15</v>
      </c>
      <c r="G37" s="152" t="s">
        <v>272</v>
      </c>
      <c r="H37" s="152" t="s">
        <v>285</v>
      </c>
      <c r="I37" s="152" t="s">
        <v>318</v>
      </c>
      <c r="J37" s="153" t="s">
        <v>523</v>
      </c>
      <c r="K37" s="83"/>
      <c r="L37" s="83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</row>
    <row r="38" spans="1:23">
      <c r="A38" s="140" t="s">
        <v>2</v>
      </c>
      <c r="B38" s="177" t="s">
        <v>544</v>
      </c>
      <c r="C38" s="150"/>
      <c r="D38" s="150"/>
      <c r="E38" s="150"/>
      <c r="F38" s="151"/>
      <c r="G38" s="152"/>
      <c r="H38" s="152"/>
      <c r="I38" s="152"/>
      <c r="J38" s="153"/>
      <c r="K38" s="83"/>
      <c r="L38" s="83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</row>
    <row r="39" spans="1:23">
      <c r="A39" s="125" t="s">
        <v>528</v>
      </c>
      <c r="B39" s="99"/>
      <c r="C39" s="178"/>
      <c r="D39" s="178"/>
      <c r="E39" s="178"/>
      <c r="F39" s="142">
        <v>250000</v>
      </c>
      <c r="G39" s="178"/>
      <c r="H39" s="150"/>
      <c r="I39" s="178"/>
      <c r="J39" s="88"/>
      <c r="K39" s="83"/>
      <c r="L39" s="83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</row>
    <row r="40" spans="1:23">
      <c r="A40" s="125" t="s">
        <v>291</v>
      </c>
      <c r="B40" s="107">
        <v>8035</v>
      </c>
      <c r="C40" s="126">
        <v>0</v>
      </c>
      <c r="D40" s="109">
        <v>0</v>
      </c>
      <c r="E40" s="109">
        <f>+D40/2</f>
        <v>0</v>
      </c>
      <c r="F40" s="87">
        <v>15000</v>
      </c>
      <c r="G40" s="109">
        <v>50000</v>
      </c>
      <c r="H40" s="110">
        <v>50000</v>
      </c>
      <c r="I40" s="127">
        <f>H40</f>
        <v>50000</v>
      </c>
      <c r="J40" s="88">
        <f>I40</f>
        <v>50000</v>
      </c>
      <c r="K40" s="83"/>
      <c r="L40" s="83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</row>
    <row r="41" spans="1:23">
      <c r="A41" s="125" t="s">
        <v>524</v>
      </c>
      <c r="B41" s="107">
        <v>8639</v>
      </c>
      <c r="C41" s="126">
        <v>0</v>
      </c>
      <c r="D41" s="109">
        <v>0</v>
      </c>
      <c r="E41" s="109">
        <f>+D41/2</f>
        <v>0</v>
      </c>
      <c r="F41" s="87">
        <v>15000</v>
      </c>
      <c r="G41" s="109">
        <v>30000</v>
      </c>
      <c r="H41" s="110">
        <v>30000</v>
      </c>
      <c r="I41" s="127">
        <f>H41</f>
        <v>30000</v>
      </c>
      <c r="J41" s="88">
        <f>I41</f>
        <v>30000</v>
      </c>
      <c r="K41" s="83"/>
      <c r="L41" s="83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</row>
    <row r="42" spans="1:23">
      <c r="A42" s="133"/>
      <c r="B42" s="179"/>
      <c r="C42" s="165">
        <f>SUM(C39:C41)</f>
        <v>0</v>
      </c>
      <c r="D42" s="166">
        <f t="shared" ref="D42" si="16">SUM(D39:D41)</f>
        <v>0</v>
      </c>
      <c r="E42" s="180">
        <f t="shared" ref="E42" si="17">SUM(E39:E41)</f>
        <v>0</v>
      </c>
      <c r="F42" s="181">
        <f t="shared" ref="F42" si="18">SUM(F39:F41)</f>
        <v>280000</v>
      </c>
      <c r="G42" s="182">
        <f t="shared" ref="G42" si="19">SUM(G39:G41)</f>
        <v>80000</v>
      </c>
      <c r="H42" s="180">
        <f t="shared" ref="H42" si="20">SUM(H39:H41)</f>
        <v>80000</v>
      </c>
      <c r="I42" s="165">
        <f t="shared" ref="I42" si="21">SUM(I39:I41)</f>
        <v>80000</v>
      </c>
      <c r="J42" s="167">
        <f t="shared" ref="J42" si="22">SUM(J39:J41)</f>
        <v>80000</v>
      </c>
      <c r="K42" s="83"/>
      <c r="L42" s="83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</row>
    <row r="43" spans="1:23">
      <c r="A43" s="78"/>
      <c r="B43" s="183"/>
      <c r="C43" s="108"/>
      <c r="D43" s="109"/>
      <c r="E43" s="109"/>
      <c r="F43" s="87"/>
      <c r="G43" s="110"/>
      <c r="H43" s="110"/>
      <c r="I43" s="184"/>
      <c r="J43" s="127"/>
      <c r="K43" s="83"/>
      <c r="L43" s="83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</row>
    <row r="44" spans="1:23">
      <c r="A44" s="96" t="s">
        <v>1</v>
      </c>
      <c r="B44" s="107"/>
      <c r="C44" s="154"/>
      <c r="D44" s="174"/>
      <c r="E44" s="174"/>
      <c r="F44" s="175"/>
      <c r="G44" s="176"/>
      <c r="H44" s="176"/>
      <c r="I44" s="88"/>
      <c r="J44" s="88"/>
      <c r="K44" s="83"/>
      <c r="L44" s="83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</row>
    <row r="45" spans="1:23">
      <c r="A45" s="96" t="s">
        <v>315</v>
      </c>
      <c r="B45" s="99"/>
      <c r="C45" s="150" t="s">
        <v>14</v>
      </c>
      <c r="D45" s="150" t="s">
        <v>14</v>
      </c>
      <c r="E45" s="150" t="s">
        <v>14</v>
      </c>
      <c r="F45" s="151" t="s">
        <v>15</v>
      </c>
      <c r="G45" s="152" t="s">
        <v>272</v>
      </c>
      <c r="H45" s="152" t="s">
        <v>285</v>
      </c>
      <c r="I45" s="152" t="s">
        <v>318</v>
      </c>
      <c r="J45" s="153" t="s">
        <v>523</v>
      </c>
      <c r="K45" s="83"/>
      <c r="L45" s="83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</row>
    <row r="46" spans="1:23">
      <c r="A46" s="140" t="s">
        <v>543</v>
      </c>
      <c r="B46" s="185" t="s">
        <v>545</v>
      </c>
      <c r="C46" s="150"/>
      <c r="D46" s="150"/>
      <c r="E46" s="150"/>
      <c r="F46" s="151"/>
      <c r="G46" s="152"/>
      <c r="H46" s="152"/>
      <c r="I46" s="152"/>
      <c r="J46" s="153"/>
      <c r="K46" s="83"/>
      <c r="L46" s="83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</row>
    <row r="47" spans="1:23">
      <c r="A47" s="125" t="s">
        <v>501</v>
      </c>
      <c r="B47" s="99"/>
      <c r="C47" s="178"/>
      <c r="D47" s="178"/>
      <c r="E47" s="178"/>
      <c r="F47" s="142">
        <v>40000</v>
      </c>
      <c r="G47" s="178"/>
      <c r="H47" s="150"/>
      <c r="I47" s="178"/>
      <c r="J47" s="88"/>
      <c r="K47" s="83"/>
      <c r="L47" s="83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</row>
    <row r="48" spans="1:23">
      <c r="A48" s="186"/>
      <c r="B48" s="179"/>
      <c r="C48" s="165">
        <f>SUM(C45:C47)</f>
        <v>0</v>
      </c>
      <c r="D48" s="166">
        <f t="shared" ref="D48" si="23">SUM(D45:D47)</f>
        <v>0</v>
      </c>
      <c r="E48" s="180">
        <f t="shared" ref="E48" si="24">SUM(E45:E47)</f>
        <v>0</v>
      </c>
      <c r="F48" s="181">
        <f t="shared" ref="F48" si="25">SUM(F45:F47)</f>
        <v>40000</v>
      </c>
      <c r="G48" s="182">
        <f t="shared" ref="G48" si="26">SUM(G45:G47)</f>
        <v>0</v>
      </c>
      <c r="H48" s="180">
        <f t="shared" ref="H48" si="27">SUM(H45:H47)</f>
        <v>0</v>
      </c>
      <c r="I48" s="165">
        <f t="shared" ref="I48" si="28">SUM(I45:I47)</f>
        <v>0</v>
      </c>
      <c r="J48" s="167">
        <f t="shared" ref="J48" si="29">SUM(J45:J47)</f>
        <v>0</v>
      </c>
      <c r="K48" s="83"/>
      <c r="L48" s="83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</row>
    <row r="49" spans="1:23">
      <c r="A49" s="125"/>
      <c r="B49" s="107"/>
      <c r="C49" s="126"/>
      <c r="D49" s="109"/>
      <c r="E49" s="109"/>
      <c r="F49" s="87"/>
      <c r="G49" s="109"/>
      <c r="H49" s="110"/>
      <c r="I49" s="127"/>
      <c r="J49" s="88"/>
      <c r="K49" s="83"/>
      <c r="L49" s="83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</row>
    <row r="50" spans="1:23">
      <c r="A50" s="78"/>
      <c r="B50" s="183"/>
      <c r="C50" s="108"/>
      <c r="D50" s="109"/>
      <c r="E50" s="109"/>
      <c r="F50" s="87"/>
      <c r="G50" s="110"/>
      <c r="H50" s="110"/>
      <c r="I50" s="184"/>
      <c r="J50" s="127"/>
      <c r="K50" s="83"/>
      <c r="L50" s="83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</row>
    <row r="51" spans="1:23">
      <c r="A51" s="96" t="s">
        <v>172</v>
      </c>
      <c r="B51" s="107"/>
      <c r="C51" s="154"/>
      <c r="D51" s="174"/>
      <c r="E51" s="174"/>
      <c r="F51" s="175"/>
      <c r="G51" s="176"/>
      <c r="H51" s="176"/>
      <c r="I51" s="88"/>
      <c r="J51" s="88"/>
      <c r="K51" s="83"/>
      <c r="L51" s="83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</row>
    <row r="52" spans="1:23">
      <c r="A52" s="96" t="s">
        <v>315</v>
      </c>
      <c r="B52" s="185" t="s">
        <v>492</v>
      </c>
      <c r="C52" s="150" t="s">
        <v>14</v>
      </c>
      <c r="D52" s="150" t="s">
        <v>14</v>
      </c>
      <c r="E52" s="150" t="s">
        <v>14</v>
      </c>
      <c r="F52" s="151" t="s">
        <v>15</v>
      </c>
      <c r="G52" s="152" t="s">
        <v>272</v>
      </c>
      <c r="H52" s="152" t="s">
        <v>285</v>
      </c>
      <c r="I52" s="152" t="s">
        <v>318</v>
      </c>
      <c r="J52" s="153" t="s">
        <v>523</v>
      </c>
      <c r="K52" s="83"/>
      <c r="L52" s="83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</row>
    <row r="53" spans="1:23" ht="39">
      <c r="A53" s="187" t="s">
        <v>546</v>
      </c>
      <c r="B53" s="188"/>
      <c r="C53" s="189"/>
      <c r="D53" s="189"/>
      <c r="E53" s="189"/>
      <c r="F53" s="190">
        <v>400000</v>
      </c>
      <c r="G53" s="191"/>
      <c r="H53" s="191"/>
      <c r="I53" s="191"/>
      <c r="J53" s="192"/>
      <c r="K53" s="83"/>
      <c r="L53" s="83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</row>
    <row r="54" spans="1:23">
      <c r="A54" s="125"/>
      <c r="B54" s="99"/>
      <c r="C54" s="178"/>
      <c r="D54" s="178"/>
      <c r="E54" s="178"/>
      <c r="F54" s="142"/>
      <c r="G54" s="178"/>
      <c r="H54" s="150"/>
      <c r="I54" s="178"/>
      <c r="J54" s="88"/>
      <c r="K54" s="83"/>
      <c r="L54" s="83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</row>
    <row r="55" spans="1:23">
      <c r="A55" s="186"/>
      <c r="B55" s="179"/>
      <c r="C55" s="165">
        <f t="shared" ref="C55:J55" si="30">SUM(C52:C54)</f>
        <v>0</v>
      </c>
      <c r="D55" s="166">
        <f t="shared" si="30"/>
        <v>0</v>
      </c>
      <c r="E55" s="180">
        <f t="shared" si="30"/>
        <v>0</v>
      </c>
      <c r="F55" s="181">
        <f t="shared" si="30"/>
        <v>400000</v>
      </c>
      <c r="G55" s="182">
        <f t="shared" si="30"/>
        <v>0</v>
      </c>
      <c r="H55" s="180">
        <f t="shared" si="30"/>
        <v>0</v>
      </c>
      <c r="I55" s="165">
        <f t="shared" si="30"/>
        <v>0</v>
      </c>
      <c r="J55" s="167">
        <f t="shared" si="30"/>
        <v>0</v>
      </c>
      <c r="K55" s="83"/>
      <c r="L55" s="83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</row>
    <row r="56" spans="1:23">
      <c r="A56" s="84"/>
      <c r="B56" s="107"/>
      <c r="C56" s="108"/>
      <c r="D56" s="109"/>
      <c r="E56" s="109"/>
      <c r="F56" s="87"/>
      <c r="G56" s="110"/>
      <c r="H56" s="110"/>
      <c r="I56" s="184"/>
      <c r="J56" s="127"/>
      <c r="K56" s="83"/>
      <c r="L56" s="83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</row>
    <row r="57" spans="1:23">
      <c r="A57" s="193" t="s">
        <v>5</v>
      </c>
      <c r="B57" s="94"/>
      <c r="C57" s="194" t="s">
        <v>14</v>
      </c>
      <c r="D57" s="194" t="s">
        <v>14</v>
      </c>
      <c r="E57" s="194" t="s">
        <v>14</v>
      </c>
      <c r="F57" s="195" t="s">
        <v>15</v>
      </c>
      <c r="G57" s="194" t="s">
        <v>272</v>
      </c>
      <c r="H57" s="196" t="s">
        <v>285</v>
      </c>
      <c r="I57" s="194" t="s">
        <v>318</v>
      </c>
      <c r="J57" s="197" t="s">
        <v>523</v>
      </c>
      <c r="K57" s="83"/>
      <c r="L57" s="83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</row>
    <row r="58" spans="1:23">
      <c r="A58" s="84" t="s">
        <v>524</v>
      </c>
      <c r="B58" s="99"/>
      <c r="C58" s="198"/>
      <c r="D58" s="198"/>
      <c r="E58" s="198"/>
      <c r="F58" s="142">
        <v>30000</v>
      </c>
      <c r="G58" s="198"/>
      <c r="H58" s="199"/>
      <c r="I58" s="198"/>
      <c r="J58" s="200"/>
      <c r="K58" s="83"/>
      <c r="L58" s="83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</row>
    <row r="59" spans="1:23">
      <c r="A59" s="84" t="s">
        <v>526</v>
      </c>
      <c r="B59" s="99"/>
      <c r="C59" s="126">
        <v>0</v>
      </c>
      <c r="D59" s="201">
        <v>0</v>
      </c>
      <c r="E59" s="201">
        <v>0</v>
      </c>
      <c r="F59" s="202">
        <v>65000</v>
      </c>
      <c r="G59" s="201">
        <v>0</v>
      </c>
      <c r="H59" s="203">
        <v>0</v>
      </c>
      <c r="I59" s="127">
        <v>0</v>
      </c>
      <c r="J59" s="127">
        <v>0</v>
      </c>
      <c r="K59" s="83"/>
      <c r="L59" s="83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</row>
    <row r="60" spans="1:23" ht="35.25" thickBot="1">
      <c r="A60" s="204"/>
      <c r="B60" s="114"/>
      <c r="C60" s="116">
        <v>0</v>
      </c>
      <c r="D60" s="205">
        <f t="shared" ref="D60:J60" si="31">SUM(D59:D59)</f>
        <v>0</v>
      </c>
      <c r="E60" s="205">
        <f t="shared" si="31"/>
        <v>0</v>
      </c>
      <c r="F60" s="206">
        <f>SUM(F58:F59)</f>
        <v>95000</v>
      </c>
      <c r="G60" s="205">
        <f t="shared" si="31"/>
        <v>0</v>
      </c>
      <c r="H60" s="207">
        <f t="shared" si="31"/>
        <v>0</v>
      </c>
      <c r="I60" s="208">
        <f t="shared" si="31"/>
        <v>0</v>
      </c>
      <c r="J60" s="209">
        <f t="shared" si="31"/>
        <v>0</v>
      </c>
      <c r="K60" s="83"/>
      <c r="L60" s="83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</row>
    <row r="61" spans="1:23" ht="35.25" thickTop="1">
      <c r="A61" s="84"/>
      <c r="B61" s="107"/>
      <c r="C61" s="183"/>
      <c r="D61" s="112"/>
      <c r="E61" s="112"/>
      <c r="F61" s="210"/>
      <c r="G61" s="112"/>
      <c r="H61" s="123"/>
      <c r="I61" s="112"/>
      <c r="J61" s="112"/>
      <c r="K61" s="83"/>
      <c r="L61" s="83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</row>
    <row r="62" spans="1:23">
      <c r="A62" s="101" t="s">
        <v>287</v>
      </c>
      <c r="B62" s="100"/>
      <c r="C62" s="194" t="s">
        <v>14</v>
      </c>
      <c r="D62" s="194" t="s">
        <v>14</v>
      </c>
      <c r="E62" s="194" t="s">
        <v>14</v>
      </c>
      <c r="F62" s="195" t="s">
        <v>15</v>
      </c>
      <c r="G62" s="194" t="s">
        <v>272</v>
      </c>
      <c r="H62" s="196" t="s">
        <v>285</v>
      </c>
      <c r="I62" s="194" t="s">
        <v>318</v>
      </c>
      <c r="J62" s="197" t="s">
        <v>523</v>
      </c>
      <c r="K62" s="83"/>
      <c r="L62" s="83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</row>
    <row r="63" spans="1:23">
      <c r="A63" s="96" t="s">
        <v>315</v>
      </c>
      <c r="B63" s="99" t="s">
        <v>493</v>
      </c>
      <c r="C63" s="178"/>
      <c r="D63" s="178"/>
      <c r="E63" s="178"/>
      <c r="F63" s="151"/>
      <c r="G63" s="178"/>
      <c r="H63" s="150"/>
      <c r="I63" s="178"/>
      <c r="J63" s="88"/>
      <c r="K63" s="83"/>
      <c r="L63" s="83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</row>
    <row r="64" spans="1:23">
      <c r="A64" s="84" t="s">
        <v>527</v>
      </c>
      <c r="B64" s="107">
        <v>8639</v>
      </c>
      <c r="C64" s="126">
        <v>0</v>
      </c>
      <c r="D64" s="109">
        <v>50000</v>
      </c>
      <c r="E64" s="109">
        <f>+D64</f>
        <v>50000</v>
      </c>
      <c r="F64" s="160">
        <v>50000</v>
      </c>
      <c r="G64" s="109">
        <v>20000</v>
      </c>
      <c r="H64" s="110">
        <v>20000</v>
      </c>
      <c r="I64" s="127">
        <v>0</v>
      </c>
      <c r="J64" s="127">
        <v>0</v>
      </c>
      <c r="K64" s="83"/>
      <c r="L64" s="83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</row>
    <row r="65" spans="1:23">
      <c r="A65" s="159" t="s">
        <v>300</v>
      </c>
      <c r="B65" s="107">
        <v>8639</v>
      </c>
      <c r="C65" s="126">
        <v>0</v>
      </c>
      <c r="D65" s="109">
        <v>15000</v>
      </c>
      <c r="E65" s="109">
        <f>+D65</f>
        <v>15000</v>
      </c>
      <c r="F65" s="160">
        <v>15000</v>
      </c>
      <c r="G65" s="109">
        <v>5000</v>
      </c>
      <c r="H65" s="110">
        <v>0</v>
      </c>
      <c r="I65" s="127">
        <v>0</v>
      </c>
      <c r="J65" s="127">
        <v>0</v>
      </c>
      <c r="K65" s="83"/>
      <c r="L65" s="83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</row>
    <row r="66" spans="1:23">
      <c r="A66" s="84" t="s">
        <v>301</v>
      </c>
      <c r="B66" s="107">
        <v>8071</v>
      </c>
      <c r="C66" s="126">
        <v>0</v>
      </c>
      <c r="D66" s="109">
        <v>300000</v>
      </c>
      <c r="E66" s="109">
        <v>300000</v>
      </c>
      <c r="F66" s="160">
        <v>0</v>
      </c>
      <c r="G66" s="109">
        <v>0</v>
      </c>
      <c r="H66" s="110">
        <v>0</v>
      </c>
      <c r="I66" s="127">
        <v>0</v>
      </c>
      <c r="J66" s="127">
        <v>0</v>
      </c>
      <c r="K66" s="83"/>
      <c r="L66" s="83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</row>
    <row r="67" spans="1:23">
      <c r="A67" s="84" t="s">
        <v>289</v>
      </c>
      <c r="B67" s="107">
        <v>8035</v>
      </c>
      <c r="C67" s="211">
        <v>20670</v>
      </c>
      <c r="D67" s="109">
        <v>100000</v>
      </c>
      <c r="E67" s="109">
        <f>+D67/2</f>
        <v>50000</v>
      </c>
      <c r="F67" s="160">
        <v>50000</v>
      </c>
      <c r="G67" s="109">
        <v>45000</v>
      </c>
      <c r="H67" s="110">
        <v>20000</v>
      </c>
      <c r="I67" s="212">
        <v>0</v>
      </c>
      <c r="J67" s="212">
        <v>0</v>
      </c>
      <c r="K67" s="83"/>
      <c r="L67" s="83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</row>
    <row r="68" spans="1:23">
      <c r="A68" s="186"/>
      <c r="B68" s="213"/>
      <c r="C68" s="214">
        <f t="shared" ref="C68:J68" si="32">SUM(C64:C67)</f>
        <v>20670</v>
      </c>
      <c r="D68" s="215">
        <f t="shared" si="32"/>
        <v>465000</v>
      </c>
      <c r="E68" s="215">
        <f t="shared" si="32"/>
        <v>415000</v>
      </c>
      <c r="F68" s="216">
        <f t="shared" si="32"/>
        <v>115000</v>
      </c>
      <c r="G68" s="215">
        <f t="shared" si="32"/>
        <v>70000</v>
      </c>
      <c r="H68" s="215">
        <f t="shared" si="32"/>
        <v>40000</v>
      </c>
      <c r="I68" s="212">
        <f t="shared" si="32"/>
        <v>0</v>
      </c>
      <c r="J68" s="212">
        <f t="shared" si="32"/>
        <v>0</v>
      </c>
      <c r="K68" s="83"/>
      <c r="L68" s="83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</row>
    <row r="69" spans="1:23">
      <c r="A69" s="76"/>
      <c r="B69" s="217"/>
      <c r="C69" s="217"/>
      <c r="D69" s="83"/>
      <c r="E69" s="83"/>
      <c r="F69" s="218"/>
      <c r="G69" s="83"/>
      <c r="H69" s="83"/>
      <c r="I69" s="83"/>
      <c r="J69" s="83"/>
      <c r="K69" s="83"/>
      <c r="L69" s="83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</row>
    <row r="70" spans="1:23">
      <c r="A70" s="76" t="s">
        <v>547</v>
      </c>
      <c r="B70" s="217"/>
      <c r="C70" s="219">
        <f>+C68+C60+C55+C48+C42+C34+C26+C19+C11</f>
        <v>105510.28</v>
      </c>
      <c r="D70" s="219">
        <f t="shared" ref="D70:J70" si="33">+D68+D60+D55+D48+D42+D34+D26+D19+D11</f>
        <v>800000</v>
      </c>
      <c r="E70" s="219">
        <f t="shared" si="33"/>
        <v>675000</v>
      </c>
      <c r="F70" s="220">
        <f t="shared" si="33"/>
        <v>1450000</v>
      </c>
      <c r="G70" s="219">
        <f t="shared" si="33"/>
        <v>300000</v>
      </c>
      <c r="H70" s="219">
        <f t="shared" si="33"/>
        <v>320000</v>
      </c>
      <c r="I70" s="219">
        <f t="shared" si="33"/>
        <v>330000</v>
      </c>
      <c r="J70" s="219">
        <f t="shared" si="33"/>
        <v>330000</v>
      </c>
      <c r="K70" s="83"/>
      <c r="L70" s="83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</row>
    <row r="71" spans="1:23">
      <c r="A71" s="76"/>
      <c r="B71" s="217"/>
      <c r="C71" s="217"/>
      <c r="D71" s="83"/>
      <c r="E71" s="83"/>
      <c r="F71" s="218"/>
      <c r="G71" s="83"/>
      <c r="H71" s="83"/>
      <c r="I71" s="83"/>
      <c r="J71" s="83"/>
      <c r="K71" s="83"/>
      <c r="L71" s="83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</row>
    <row r="72" spans="1:23">
      <c r="A72" s="76"/>
      <c r="B72" s="217"/>
      <c r="C72" s="217"/>
      <c r="D72" s="83"/>
      <c r="E72" s="83"/>
      <c r="F72" s="218"/>
      <c r="G72" s="83"/>
      <c r="H72" s="83"/>
      <c r="I72" s="83"/>
      <c r="J72" s="83"/>
      <c r="K72" s="83"/>
      <c r="L72" s="83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</row>
    <row r="73" spans="1:23">
      <c r="A73" s="76"/>
      <c r="B73" s="217"/>
      <c r="C73" s="217"/>
      <c r="D73" s="83"/>
      <c r="E73" s="83"/>
      <c r="F73" s="218"/>
      <c r="G73" s="83"/>
      <c r="H73" s="83"/>
      <c r="I73" s="83"/>
      <c r="J73" s="83"/>
      <c r="K73" s="83"/>
      <c r="L73" s="83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</row>
    <row r="74" spans="1:23">
      <c r="A74" s="76"/>
      <c r="B74" s="217"/>
      <c r="C74" s="217"/>
      <c r="D74" s="83"/>
      <c r="E74" s="83"/>
      <c r="F74" s="218"/>
      <c r="G74" s="83"/>
      <c r="H74" s="83"/>
      <c r="I74" s="83"/>
      <c r="J74" s="83"/>
      <c r="K74" s="83"/>
      <c r="L74" s="83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</row>
    <row r="75" spans="1:23">
      <c r="A75" s="76"/>
      <c r="B75" s="217"/>
      <c r="C75" s="217"/>
      <c r="D75" s="83"/>
      <c r="E75" s="83"/>
      <c r="F75" s="218"/>
      <c r="G75" s="83"/>
      <c r="H75" s="83"/>
      <c r="I75" s="83"/>
      <c r="J75" s="83"/>
      <c r="K75" s="83"/>
      <c r="L75" s="83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</row>
    <row r="76" spans="1:23">
      <c r="A76" s="76"/>
      <c r="B76" s="217"/>
      <c r="C76" s="217"/>
      <c r="D76" s="83"/>
      <c r="E76" s="83"/>
      <c r="F76" s="218"/>
      <c r="G76" s="83"/>
      <c r="H76" s="83"/>
      <c r="I76" s="83"/>
      <c r="J76" s="83"/>
      <c r="K76" s="83"/>
      <c r="L76" s="83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</row>
    <row r="77" spans="1:23">
      <c r="A77" s="76"/>
      <c r="B77" s="217"/>
      <c r="C77" s="217"/>
      <c r="D77" s="83"/>
      <c r="E77" s="83"/>
      <c r="F77" s="218"/>
      <c r="G77" s="83"/>
      <c r="H77" s="83"/>
      <c r="I77" s="83"/>
      <c r="J77" s="83"/>
      <c r="K77" s="83"/>
      <c r="L77" s="83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</row>
    <row r="78" spans="1:23">
      <c r="A78" s="76"/>
      <c r="B78" s="217"/>
      <c r="C78" s="217"/>
      <c r="D78" s="83"/>
      <c r="E78" s="83"/>
      <c r="F78" s="218"/>
      <c r="G78" s="83"/>
      <c r="H78" s="83"/>
      <c r="I78" s="83"/>
      <c r="J78" s="83"/>
      <c r="K78" s="83"/>
      <c r="L78" s="83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</row>
    <row r="79" spans="1:23">
      <c r="A79" s="76"/>
      <c r="B79" s="217"/>
      <c r="C79" s="217"/>
      <c r="D79" s="83"/>
      <c r="E79" s="83"/>
      <c r="F79" s="218"/>
      <c r="G79" s="83"/>
      <c r="H79" s="83"/>
      <c r="I79" s="83"/>
      <c r="J79" s="83"/>
      <c r="K79" s="83"/>
      <c r="L79" s="83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</row>
    <row r="80" spans="1:23">
      <c r="A80" s="76"/>
      <c r="B80" s="217"/>
      <c r="C80" s="217"/>
      <c r="D80" s="83"/>
      <c r="E80" s="83"/>
      <c r="F80" s="218"/>
      <c r="G80" s="83"/>
      <c r="H80" s="83"/>
      <c r="I80" s="83"/>
      <c r="J80" s="83"/>
      <c r="K80" s="83"/>
      <c r="L80" s="83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</row>
    <row r="81" spans="1:23">
      <c r="A81" s="76"/>
      <c r="B81" s="217"/>
      <c r="C81" s="217"/>
      <c r="D81" s="83"/>
      <c r="E81" s="83"/>
      <c r="F81" s="218"/>
      <c r="G81" s="83"/>
      <c r="H81" s="83"/>
      <c r="I81" s="83"/>
      <c r="J81" s="83"/>
      <c r="K81" s="83"/>
      <c r="L81" s="83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</row>
    <row r="82" spans="1:23">
      <c r="A82" s="76"/>
      <c r="B82" s="217"/>
      <c r="C82" s="217"/>
      <c r="D82" s="83"/>
      <c r="E82" s="83"/>
      <c r="F82" s="218"/>
      <c r="G82" s="83"/>
      <c r="H82" s="83"/>
      <c r="I82" s="83"/>
      <c r="J82" s="83"/>
      <c r="K82" s="83"/>
      <c r="L82" s="83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</row>
    <row r="83" spans="1:23">
      <c r="A83" s="76"/>
      <c r="B83" s="217"/>
      <c r="C83" s="217"/>
      <c r="D83" s="83"/>
      <c r="E83" s="83"/>
      <c r="F83" s="83"/>
      <c r="G83" s="83"/>
      <c r="H83" s="83"/>
      <c r="I83" s="83"/>
      <c r="J83" s="83"/>
      <c r="K83" s="83"/>
      <c r="L83" s="83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</row>
    <row r="84" spans="1:23">
      <c r="A84" s="76"/>
      <c r="B84" s="217"/>
      <c r="C84" s="217"/>
      <c r="D84" s="83"/>
      <c r="E84" s="83"/>
      <c r="F84" s="83"/>
      <c r="G84" s="83"/>
      <c r="H84" s="83"/>
      <c r="I84" s="83"/>
      <c r="J84" s="83"/>
      <c r="K84" s="83"/>
      <c r="L84" s="83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</row>
    <row r="85" spans="1:23">
      <c r="A85" s="76"/>
      <c r="B85" s="217"/>
      <c r="C85" s="217"/>
      <c r="D85" s="83"/>
      <c r="E85" s="83"/>
      <c r="F85" s="83"/>
      <c r="G85" s="83"/>
      <c r="H85" s="83"/>
      <c r="I85" s="83"/>
      <c r="J85" s="83"/>
      <c r="K85" s="83"/>
      <c r="L85" s="83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</row>
    <row r="86" spans="1:23">
      <c r="A86" s="76"/>
      <c r="B86" s="217"/>
      <c r="C86" s="217"/>
      <c r="D86" s="83"/>
      <c r="E86" s="83"/>
      <c r="F86" s="83"/>
      <c r="G86" s="83"/>
      <c r="H86" s="83"/>
      <c r="I86" s="83"/>
      <c r="J86" s="83"/>
      <c r="K86" s="83"/>
      <c r="L86" s="83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</row>
    <row r="87" spans="1:23">
      <c r="A87" s="76"/>
      <c r="B87" s="217"/>
      <c r="C87" s="217"/>
      <c r="D87" s="83"/>
      <c r="E87" s="83"/>
      <c r="F87" s="83"/>
      <c r="G87" s="83"/>
      <c r="H87" s="83"/>
      <c r="I87" s="83"/>
      <c r="J87" s="83"/>
      <c r="K87" s="83"/>
      <c r="L87" s="83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</row>
    <row r="88" spans="1:23">
      <c r="A88" s="76"/>
      <c r="B88" s="217"/>
      <c r="C88" s="217"/>
      <c r="D88" s="83"/>
      <c r="E88" s="83"/>
      <c r="F88" s="83"/>
      <c r="G88" s="83"/>
      <c r="H88" s="83"/>
      <c r="I88" s="83"/>
      <c r="J88" s="83"/>
      <c r="K88" s="83"/>
      <c r="L88" s="83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</row>
    <row r="89" spans="1:23">
      <c r="A89" s="76"/>
      <c r="B89" s="217"/>
      <c r="C89" s="217"/>
      <c r="D89" s="83"/>
      <c r="E89" s="83"/>
      <c r="F89" s="83"/>
      <c r="G89" s="83"/>
      <c r="H89" s="83"/>
      <c r="I89" s="83"/>
      <c r="J89" s="83"/>
      <c r="K89" s="83"/>
      <c r="L89" s="83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</row>
    <row r="90" spans="1:23">
      <c r="A90" s="76"/>
      <c r="B90" s="217"/>
      <c r="C90" s="217"/>
      <c r="D90" s="83"/>
      <c r="E90" s="83"/>
      <c r="F90" s="83"/>
      <c r="G90" s="83"/>
      <c r="H90" s="83"/>
      <c r="I90" s="83"/>
      <c r="J90" s="83"/>
      <c r="K90" s="83"/>
      <c r="L90" s="83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</row>
    <row r="91" spans="1:23">
      <c r="A91" s="76"/>
      <c r="B91" s="217"/>
      <c r="C91" s="217"/>
      <c r="D91" s="83"/>
      <c r="E91" s="83"/>
      <c r="F91" s="83"/>
      <c r="G91" s="83"/>
      <c r="H91" s="83"/>
      <c r="I91" s="83"/>
      <c r="J91" s="83"/>
      <c r="K91" s="83"/>
      <c r="L91" s="83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</row>
    <row r="92" spans="1:23">
      <c r="A92" s="76"/>
      <c r="B92" s="217"/>
      <c r="C92" s="217"/>
      <c r="D92" s="83"/>
      <c r="E92" s="83"/>
      <c r="F92" s="83"/>
      <c r="G92" s="83"/>
      <c r="H92" s="83"/>
      <c r="I92" s="83"/>
      <c r="J92" s="83"/>
      <c r="K92" s="83"/>
      <c r="L92" s="83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</row>
    <row r="93" spans="1:23">
      <c r="A93" s="76"/>
      <c r="B93" s="217"/>
      <c r="C93" s="217"/>
      <c r="D93" s="83"/>
      <c r="E93" s="83"/>
      <c r="F93" s="83"/>
      <c r="G93" s="83"/>
      <c r="H93" s="83"/>
      <c r="I93" s="83"/>
      <c r="J93" s="83"/>
      <c r="K93" s="83"/>
      <c r="L93" s="83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</row>
    <row r="94" spans="1:23">
      <c r="A94" s="76"/>
      <c r="B94" s="217"/>
      <c r="C94" s="217"/>
      <c r="D94" s="83"/>
      <c r="E94" s="83"/>
      <c r="F94" s="83"/>
      <c r="G94" s="83"/>
      <c r="H94" s="83"/>
      <c r="I94" s="83"/>
      <c r="J94" s="83"/>
      <c r="K94" s="83"/>
      <c r="L94" s="83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</row>
    <row r="95" spans="1:23">
      <c r="A95" s="76"/>
      <c r="B95" s="76"/>
      <c r="C95" s="76"/>
      <c r="D95" s="83"/>
      <c r="E95" s="83"/>
      <c r="F95" s="83"/>
      <c r="G95" s="83"/>
      <c r="H95" s="83"/>
      <c r="I95" s="83"/>
      <c r="J95" s="83"/>
      <c r="K95" s="83"/>
      <c r="L95" s="83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</row>
    <row r="96" spans="1:23">
      <c r="A96" s="76"/>
      <c r="B96" s="76"/>
      <c r="C96" s="76"/>
      <c r="D96" s="83"/>
      <c r="E96" s="83"/>
      <c r="F96" s="83"/>
      <c r="G96" s="83"/>
      <c r="H96" s="83"/>
      <c r="I96" s="83"/>
      <c r="J96" s="83"/>
      <c r="K96" s="83"/>
      <c r="L96" s="83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</row>
    <row r="97" spans="1:23">
      <c r="A97" s="76"/>
      <c r="B97" s="76"/>
      <c r="C97" s="76"/>
      <c r="D97" s="83"/>
      <c r="E97" s="83"/>
      <c r="F97" s="83"/>
      <c r="G97" s="83"/>
      <c r="H97" s="83"/>
      <c r="I97" s="83"/>
      <c r="J97" s="83"/>
      <c r="K97" s="83"/>
      <c r="L97" s="83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</row>
    <row r="98" spans="1:23">
      <c r="A98" s="76"/>
      <c r="B98" s="76"/>
      <c r="C98" s="76"/>
      <c r="D98" s="83"/>
      <c r="E98" s="83"/>
      <c r="F98" s="83"/>
      <c r="G98" s="83"/>
      <c r="H98" s="83"/>
      <c r="I98" s="83"/>
      <c r="J98" s="83"/>
      <c r="K98" s="83"/>
      <c r="L98" s="83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</row>
    <row r="99" spans="1:23">
      <c r="A99" s="76"/>
      <c r="B99" s="76"/>
      <c r="C99" s="76"/>
      <c r="D99" s="83"/>
      <c r="E99" s="83"/>
      <c r="F99" s="83"/>
      <c r="G99" s="83"/>
      <c r="H99" s="83"/>
      <c r="I99" s="83"/>
      <c r="J99" s="83"/>
      <c r="K99" s="83"/>
      <c r="L99" s="83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</row>
    <row r="100" spans="1:23">
      <c r="A100" s="76"/>
      <c r="B100" s="76"/>
      <c r="C100" s="76"/>
      <c r="D100" s="83"/>
      <c r="E100" s="83"/>
      <c r="F100" s="83"/>
      <c r="G100" s="83"/>
      <c r="H100" s="83"/>
      <c r="I100" s="83"/>
      <c r="J100" s="83"/>
      <c r="K100" s="83"/>
      <c r="L100" s="83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</row>
    <row r="101" spans="1:23">
      <c r="A101" s="76"/>
      <c r="B101" s="76"/>
      <c r="C101" s="76"/>
      <c r="D101" s="83"/>
      <c r="E101" s="83"/>
      <c r="F101" s="83"/>
      <c r="G101" s="83"/>
      <c r="H101" s="83"/>
      <c r="I101" s="83"/>
      <c r="J101" s="83"/>
      <c r="K101" s="83"/>
      <c r="L101" s="83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</row>
    <row r="102" spans="1:23">
      <c r="A102" s="76"/>
      <c r="B102" s="76"/>
      <c r="C102" s="76"/>
      <c r="D102" s="83"/>
      <c r="E102" s="83"/>
      <c r="F102" s="83"/>
      <c r="G102" s="83"/>
      <c r="H102" s="83"/>
      <c r="I102" s="83"/>
      <c r="J102" s="83"/>
      <c r="K102" s="83"/>
      <c r="L102" s="83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</row>
    <row r="103" spans="1:23">
      <c r="A103" s="76"/>
      <c r="B103" s="76"/>
      <c r="C103" s="76"/>
      <c r="D103" s="83"/>
      <c r="E103" s="83"/>
      <c r="F103" s="83"/>
      <c r="G103" s="83"/>
      <c r="H103" s="83"/>
      <c r="I103" s="83"/>
      <c r="J103" s="83"/>
      <c r="K103" s="83"/>
      <c r="L103" s="83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</row>
    <row r="104" spans="1:23">
      <c r="A104" s="76"/>
      <c r="B104" s="76"/>
      <c r="C104" s="76"/>
      <c r="D104" s="83"/>
      <c r="E104" s="83"/>
      <c r="F104" s="83"/>
      <c r="G104" s="83"/>
      <c r="H104" s="83"/>
      <c r="I104" s="83"/>
      <c r="J104" s="83"/>
      <c r="K104" s="83"/>
      <c r="L104" s="83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</row>
    <row r="105" spans="1:23">
      <c r="A105" s="76"/>
      <c r="B105" s="76"/>
      <c r="C105" s="76"/>
      <c r="D105" s="83"/>
      <c r="E105" s="83"/>
      <c r="F105" s="83"/>
      <c r="G105" s="83"/>
      <c r="H105" s="83"/>
      <c r="I105" s="83"/>
      <c r="J105" s="83"/>
      <c r="K105" s="83"/>
      <c r="L105" s="83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</row>
    <row r="106" spans="1:23">
      <c r="A106" s="76"/>
      <c r="B106" s="76"/>
      <c r="C106" s="76"/>
      <c r="D106" s="83"/>
      <c r="E106" s="83"/>
      <c r="F106" s="83"/>
      <c r="G106" s="83"/>
      <c r="H106" s="83"/>
      <c r="I106" s="83"/>
      <c r="J106" s="83"/>
      <c r="K106" s="83"/>
      <c r="L106" s="83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</row>
    <row r="107" spans="1:23">
      <c r="A107" s="76"/>
      <c r="B107" s="76"/>
      <c r="C107" s="76"/>
      <c r="D107" s="83"/>
      <c r="E107" s="83"/>
      <c r="F107" s="83"/>
      <c r="G107" s="83"/>
      <c r="H107" s="83"/>
      <c r="I107" s="83"/>
      <c r="J107" s="83"/>
      <c r="K107" s="83"/>
      <c r="L107" s="83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</row>
    <row r="108" spans="1:23">
      <c r="A108" s="76"/>
      <c r="B108" s="76"/>
      <c r="C108" s="76"/>
      <c r="D108" s="83"/>
      <c r="E108" s="83"/>
      <c r="F108" s="83"/>
      <c r="G108" s="83"/>
      <c r="H108" s="83"/>
      <c r="I108" s="83"/>
      <c r="J108" s="83"/>
      <c r="K108" s="83"/>
      <c r="L108" s="83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</row>
    <row r="109" spans="1:23">
      <c r="A109" s="76"/>
      <c r="B109" s="76"/>
      <c r="C109" s="76"/>
      <c r="D109" s="83"/>
      <c r="E109" s="83"/>
      <c r="F109" s="83"/>
      <c r="G109" s="83"/>
      <c r="H109" s="83"/>
      <c r="I109" s="83"/>
      <c r="J109" s="83"/>
      <c r="K109" s="83"/>
      <c r="L109" s="83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</row>
    <row r="110" spans="1:23">
      <c r="A110" s="76"/>
      <c r="B110" s="76"/>
      <c r="C110" s="76"/>
      <c r="D110" s="83"/>
      <c r="E110" s="83"/>
      <c r="F110" s="83"/>
      <c r="G110" s="83"/>
      <c r="H110" s="83"/>
      <c r="I110" s="83"/>
      <c r="J110" s="83"/>
      <c r="K110" s="83"/>
      <c r="L110" s="83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</row>
    <row r="111" spans="1:23">
      <c r="A111" s="76"/>
      <c r="B111" s="76"/>
      <c r="C111" s="76"/>
      <c r="D111" s="83"/>
      <c r="E111" s="83"/>
      <c r="F111" s="83"/>
      <c r="G111" s="83"/>
      <c r="H111" s="83"/>
      <c r="I111" s="83"/>
      <c r="J111" s="83"/>
      <c r="K111" s="83"/>
      <c r="L111" s="83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</row>
    <row r="112" spans="1:23">
      <c r="A112" s="76"/>
      <c r="B112" s="76"/>
      <c r="C112" s="76"/>
      <c r="D112" s="83"/>
      <c r="E112" s="83"/>
      <c r="F112" s="83"/>
      <c r="G112" s="83"/>
      <c r="H112" s="83"/>
      <c r="I112" s="83"/>
      <c r="J112" s="83"/>
      <c r="K112" s="83"/>
      <c r="L112" s="83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</row>
    <row r="113" spans="1:23">
      <c r="A113" s="76"/>
      <c r="B113" s="76"/>
      <c r="C113" s="76"/>
      <c r="D113" s="83"/>
      <c r="E113" s="83"/>
      <c r="F113" s="83"/>
      <c r="G113" s="83"/>
      <c r="H113" s="83"/>
      <c r="I113" s="83"/>
      <c r="J113" s="83"/>
      <c r="K113" s="83"/>
      <c r="L113" s="83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</row>
    <row r="114" spans="1:23">
      <c r="A114" s="76"/>
      <c r="B114" s="76"/>
      <c r="C114" s="76"/>
      <c r="D114" s="83"/>
      <c r="E114" s="83"/>
      <c r="F114" s="83"/>
      <c r="G114" s="83"/>
      <c r="H114" s="83"/>
      <c r="I114" s="83"/>
      <c r="J114" s="83"/>
      <c r="K114" s="83"/>
      <c r="L114" s="83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</row>
    <row r="115" spans="1:23">
      <c r="A115" s="76"/>
      <c r="B115" s="76"/>
      <c r="C115" s="76"/>
      <c r="D115" s="83"/>
      <c r="E115" s="83"/>
      <c r="F115" s="83"/>
      <c r="G115" s="83"/>
      <c r="H115" s="83"/>
      <c r="I115" s="83"/>
      <c r="J115" s="83"/>
      <c r="K115" s="83"/>
      <c r="L115" s="83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</row>
    <row r="116" spans="1:23">
      <c r="A116" s="76"/>
      <c r="B116" s="76"/>
      <c r="C116" s="76"/>
      <c r="D116" s="83"/>
      <c r="E116" s="83"/>
      <c r="F116" s="83"/>
      <c r="G116" s="83"/>
      <c r="H116" s="83"/>
      <c r="I116" s="83"/>
      <c r="J116" s="83"/>
      <c r="K116" s="83"/>
      <c r="L116" s="83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</row>
    <row r="117" spans="1:23">
      <c r="A117" s="76"/>
      <c r="B117" s="76"/>
      <c r="C117" s="76"/>
      <c r="D117" s="83"/>
      <c r="E117" s="83"/>
      <c r="F117" s="83"/>
      <c r="G117" s="83"/>
      <c r="H117" s="83"/>
      <c r="I117" s="83"/>
      <c r="J117" s="83"/>
      <c r="K117" s="83"/>
      <c r="L117" s="83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</row>
    <row r="118" spans="1:23">
      <c r="A118" s="76"/>
      <c r="B118" s="76"/>
      <c r="C118" s="76"/>
      <c r="D118" s="83"/>
      <c r="E118" s="83"/>
      <c r="F118" s="83"/>
      <c r="G118" s="83"/>
      <c r="H118" s="83"/>
      <c r="I118" s="83"/>
      <c r="J118" s="83"/>
      <c r="K118" s="83"/>
      <c r="L118" s="83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</row>
    <row r="119" spans="1:23">
      <c r="A119" s="76"/>
      <c r="B119" s="76"/>
      <c r="C119" s="76"/>
      <c r="D119" s="83"/>
      <c r="E119" s="83"/>
      <c r="F119" s="83"/>
      <c r="G119" s="83"/>
      <c r="H119" s="83"/>
      <c r="I119" s="83"/>
      <c r="J119" s="83"/>
      <c r="K119" s="83"/>
      <c r="L119" s="83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</row>
    <row r="120" spans="1:23">
      <c r="A120" s="76"/>
      <c r="B120" s="76"/>
      <c r="C120" s="76"/>
      <c r="D120" s="83"/>
      <c r="E120" s="83"/>
      <c r="F120" s="83"/>
      <c r="G120" s="83"/>
      <c r="H120" s="83"/>
      <c r="I120" s="83"/>
      <c r="J120" s="83"/>
      <c r="K120" s="83"/>
      <c r="L120" s="83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</row>
    <row r="121" spans="1:23">
      <c r="A121" s="76"/>
      <c r="B121" s="76"/>
      <c r="C121" s="76"/>
      <c r="D121" s="83"/>
      <c r="E121" s="83"/>
      <c r="F121" s="83"/>
      <c r="G121" s="83"/>
      <c r="H121" s="83"/>
      <c r="I121" s="83"/>
      <c r="J121" s="83"/>
      <c r="K121" s="83"/>
      <c r="L121" s="83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</row>
    <row r="122" spans="1:23">
      <c r="A122" s="76"/>
      <c r="B122" s="76"/>
      <c r="C122" s="76"/>
      <c r="D122" s="83"/>
      <c r="E122" s="83"/>
      <c r="F122" s="83"/>
      <c r="G122" s="83"/>
      <c r="H122" s="83"/>
      <c r="I122" s="83"/>
      <c r="J122" s="83"/>
      <c r="K122" s="83"/>
      <c r="L122" s="83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</row>
    <row r="123" spans="1:23">
      <c r="A123" s="76"/>
      <c r="B123" s="76"/>
      <c r="C123" s="76"/>
      <c r="D123" s="83"/>
      <c r="E123" s="83"/>
      <c r="F123" s="83"/>
      <c r="G123" s="83"/>
      <c r="H123" s="83"/>
      <c r="I123" s="83"/>
      <c r="J123" s="83"/>
      <c r="K123" s="83"/>
      <c r="L123" s="83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</row>
    <row r="124" spans="1:23">
      <c r="A124" s="76"/>
      <c r="B124" s="76"/>
      <c r="C124" s="76"/>
      <c r="D124" s="83"/>
      <c r="E124" s="83"/>
      <c r="F124" s="83"/>
      <c r="G124" s="83"/>
      <c r="H124" s="83"/>
      <c r="I124" s="83"/>
      <c r="J124" s="83"/>
      <c r="K124" s="83"/>
      <c r="L124" s="83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</row>
    <row r="125" spans="1:23">
      <c r="A125" s="76"/>
      <c r="B125" s="76"/>
      <c r="C125" s="76"/>
      <c r="D125" s="83"/>
      <c r="E125" s="83"/>
      <c r="F125" s="83"/>
      <c r="G125" s="83"/>
      <c r="H125" s="83"/>
      <c r="I125" s="83"/>
      <c r="J125" s="83"/>
      <c r="K125" s="83"/>
      <c r="L125" s="83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</row>
    <row r="126" spans="1:23">
      <c r="A126" s="76"/>
      <c r="B126" s="76"/>
      <c r="C126" s="76"/>
      <c r="D126" s="83"/>
      <c r="E126" s="83"/>
      <c r="F126" s="83"/>
      <c r="G126" s="83"/>
      <c r="H126" s="83"/>
      <c r="I126" s="83"/>
      <c r="J126" s="83"/>
      <c r="K126" s="83"/>
      <c r="L126" s="83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</row>
    <row r="127" spans="1:23">
      <c r="A127" s="76"/>
      <c r="B127" s="76"/>
      <c r="C127" s="76"/>
      <c r="D127" s="83"/>
      <c r="E127" s="83"/>
      <c r="F127" s="83"/>
      <c r="G127" s="83"/>
      <c r="H127" s="83"/>
      <c r="I127" s="83"/>
      <c r="J127" s="83"/>
      <c r="K127" s="83"/>
      <c r="L127" s="83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</row>
    <row r="128" spans="1:23">
      <c r="A128" s="76"/>
      <c r="B128" s="76"/>
      <c r="C128" s="76"/>
      <c r="D128" s="83"/>
      <c r="E128" s="83"/>
      <c r="F128" s="83"/>
      <c r="G128" s="83"/>
      <c r="H128" s="83"/>
      <c r="I128" s="83"/>
      <c r="J128" s="83"/>
      <c r="K128" s="83"/>
      <c r="L128" s="83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</row>
    <row r="129" spans="1:23">
      <c r="A129" s="76"/>
      <c r="B129" s="76"/>
      <c r="C129" s="76"/>
      <c r="D129" s="83"/>
      <c r="E129" s="83"/>
      <c r="F129" s="83"/>
      <c r="G129" s="83"/>
      <c r="H129" s="83"/>
      <c r="I129" s="83"/>
      <c r="J129" s="83"/>
      <c r="K129" s="83"/>
      <c r="L129" s="83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</row>
    <row r="130" spans="1:23">
      <c r="A130" s="76"/>
      <c r="B130" s="76"/>
      <c r="C130" s="76"/>
      <c r="D130" s="83"/>
      <c r="E130" s="83"/>
      <c r="F130" s="83"/>
      <c r="G130" s="83"/>
      <c r="H130" s="83"/>
      <c r="I130" s="83"/>
      <c r="J130" s="83"/>
      <c r="K130" s="83"/>
      <c r="L130" s="83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</row>
    <row r="131" spans="1:23">
      <c r="A131" s="76"/>
      <c r="B131" s="76"/>
      <c r="C131" s="76"/>
      <c r="D131" s="83"/>
      <c r="E131" s="83"/>
      <c r="F131" s="83"/>
      <c r="G131" s="83"/>
      <c r="H131" s="83"/>
      <c r="I131" s="83"/>
      <c r="J131" s="83"/>
      <c r="K131" s="83"/>
      <c r="L131" s="83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</row>
    <row r="132" spans="1:23">
      <c r="A132" s="76"/>
      <c r="B132" s="76"/>
      <c r="C132" s="76"/>
      <c r="D132" s="83"/>
      <c r="E132" s="83"/>
      <c r="F132" s="83"/>
      <c r="G132" s="83"/>
      <c r="H132" s="83"/>
      <c r="I132" s="83"/>
      <c r="J132" s="83"/>
      <c r="K132" s="83"/>
      <c r="L132" s="83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</row>
    <row r="133" spans="1:23">
      <c r="A133" s="76"/>
      <c r="B133" s="76"/>
      <c r="C133" s="76"/>
      <c r="D133" s="83"/>
      <c r="E133" s="83"/>
      <c r="F133" s="83"/>
      <c r="G133" s="83"/>
      <c r="H133" s="83"/>
      <c r="I133" s="83"/>
      <c r="J133" s="83"/>
      <c r="K133" s="83"/>
      <c r="L133" s="83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</row>
    <row r="134" spans="1:23">
      <c r="A134" s="76"/>
      <c r="B134" s="76"/>
      <c r="C134" s="76"/>
      <c r="D134" s="83"/>
      <c r="E134" s="83"/>
      <c r="F134" s="83"/>
      <c r="G134" s="83"/>
      <c r="H134" s="83"/>
      <c r="I134" s="83"/>
      <c r="J134" s="83"/>
      <c r="K134" s="83"/>
      <c r="L134" s="83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</row>
    <row r="135" spans="1:23">
      <c r="A135" s="76"/>
      <c r="B135" s="76"/>
      <c r="C135" s="76"/>
      <c r="D135" s="83"/>
      <c r="E135" s="83"/>
      <c r="F135" s="83"/>
      <c r="G135" s="83"/>
      <c r="H135" s="83"/>
      <c r="I135" s="83"/>
      <c r="J135" s="83"/>
      <c r="K135" s="83"/>
      <c r="L135" s="83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</row>
    <row r="136" spans="1:23">
      <c r="A136" s="76"/>
      <c r="B136" s="76"/>
      <c r="C136" s="76"/>
      <c r="D136" s="83"/>
      <c r="E136" s="83"/>
      <c r="F136" s="83"/>
      <c r="G136" s="83"/>
      <c r="H136" s="83"/>
      <c r="I136" s="83"/>
      <c r="J136" s="83"/>
      <c r="K136" s="83"/>
      <c r="L136" s="83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</row>
    <row r="137" spans="1:23">
      <c r="A137" s="76"/>
      <c r="B137" s="76"/>
      <c r="C137" s="76"/>
      <c r="D137" s="83"/>
      <c r="E137" s="83"/>
      <c r="F137" s="83"/>
      <c r="G137" s="83"/>
      <c r="H137" s="83"/>
      <c r="I137" s="83"/>
      <c r="J137" s="83"/>
      <c r="K137" s="83"/>
      <c r="L137" s="83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</row>
    <row r="138" spans="1:23">
      <c r="A138" s="76"/>
      <c r="B138" s="76"/>
      <c r="C138" s="76"/>
      <c r="D138" s="83"/>
      <c r="E138" s="83"/>
      <c r="F138" s="83"/>
      <c r="G138" s="83"/>
      <c r="H138" s="83"/>
      <c r="I138" s="83"/>
      <c r="J138" s="83"/>
      <c r="K138" s="83"/>
      <c r="L138" s="83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</row>
    <row r="139" spans="1:23">
      <c r="A139" s="76"/>
      <c r="B139" s="76"/>
      <c r="C139" s="76"/>
      <c r="D139" s="83"/>
      <c r="E139" s="83"/>
      <c r="F139" s="83"/>
      <c r="G139" s="83"/>
      <c r="H139" s="83"/>
      <c r="I139" s="83"/>
      <c r="J139" s="83"/>
      <c r="K139" s="83"/>
      <c r="L139" s="83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</row>
    <row r="140" spans="1:23">
      <c r="A140" s="76"/>
      <c r="B140" s="76"/>
      <c r="C140" s="76"/>
      <c r="D140" s="83"/>
      <c r="E140" s="83"/>
      <c r="F140" s="83"/>
      <c r="G140" s="83"/>
      <c r="H140" s="83"/>
      <c r="I140" s="83"/>
      <c r="J140" s="83"/>
      <c r="K140" s="83"/>
      <c r="L140" s="83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</row>
    <row r="141" spans="1:23">
      <c r="A141" s="76"/>
      <c r="B141" s="76"/>
      <c r="C141" s="76"/>
      <c r="D141" s="83"/>
      <c r="E141" s="83"/>
      <c r="F141" s="83"/>
      <c r="G141" s="83"/>
      <c r="H141" s="83"/>
      <c r="I141" s="83"/>
      <c r="J141" s="83"/>
      <c r="K141" s="83"/>
      <c r="L141" s="83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</row>
    <row r="142" spans="1:23">
      <c r="A142" s="76"/>
      <c r="B142" s="76"/>
      <c r="C142" s="76"/>
      <c r="D142" s="83"/>
      <c r="E142" s="83"/>
      <c r="F142" s="83"/>
      <c r="G142" s="83"/>
      <c r="H142" s="83"/>
      <c r="I142" s="83"/>
      <c r="J142" s="83"/>
      <c r="K142" s="83"/>
      <c r="L142" s="83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</row>
    <row r="143" spans="1:23">
      <c r="A143" s="76"/>
      <c r="B143" s="76"/>
      <c r="C143" s="76"/>
      <c r="D143" s="83"/>
      <c r="E143" s="83"/>
      <c r="F143" s="83"/>
      <c r="G143" s="83"/>
      <c r="H143" s="83"/>
      <c r="I143" s="83"/>
      <c r="J143" s="83"/>
      <c r="K143" s="83"/>
      <c r="L143" s="83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</row>
    <row r="144" spans="1:23">
      <c r="A144" s="76"/>
      <c r="B144" s="76"/>
      <c r="C144" s="76"/>
      <c r="D144" s="83"/>
      <c r="E144" s="83"/>
      <c r="F144" s="83"/>
      <c r="G144" s="83"/>
      <c r="H144" s="83"/>
      <c r="I144" s="83"/>
      <c r="J144" s="83"/>
      <c r="K144" s="83"/>
      <c r="L144" s="83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</row>
    <row r="145" spans="1:23">
      <c r="A145" s="76"/>
      <c r="B145" s="76"/>
      <c r="C145" s="76"/>
      <c r="D145" s="83"/>
      <c r="E145" s="83"/>
      <c r="F145" s="83"/>
      <c r="G145" s="83"/>
      <c r="H145" s="83"/>
      <c r="I145" s="83"/>
      <c r="J145" s="83"/>
      <c r="K145" s="83"/>
      <c r="L145" s="83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</row>
    <row r="146" spans="1:23">
      <c r="A146" s="76"/>
      <c r="B146" s="76"/>
      <c r="C146" s="76"/>
      <c r="D146" s="83"/>
      <c r="E146" s="83"/>
      <c r="F146" s="83"/>
      <c r="G146" s="83"/>
      <c r="H146" s="83"/>
      <c r="I146" s="83"/>
      <c r="J146" s="83"/>
      <c r="K146" s="83"/>
      <c r="L146" s="83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</row>
    <row r="147" spans="1:23">
      <c r="A147" s="76"/>
      <c r="B147" s="76"/>
      <c r="C147" s="76"/>
      <c r="D147" s="83"/>
      <c r="E147" s="83"/>
      <c r="F147" s="83"/>
      <c r="G147" s="83"/>
      <c r="H147" s="83"/>
      <c r="I147" s="83"/>
      <c r="J147" s="83"/>
      <c r="K147" s="83"/>
      <c r="L147" s="83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</row>
    <row r="148" spans="1:23">
      <c r="A148" s="76"/>
      <c r="B148" s="76"/>
      <c r="C148" s="76"/>
      <c r="D148" s="83"/>
      <c r="E148" s="83"/>
      <c r="F148" s="83"/>
      <c r="G148" s="83"/>
      <c r="H148" s="83"/>
      <c r="I148" s="83"/>
      <c r="J148" s="83"/>
      <c r="K148" s="83"/>
      <c r="L148" s="83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</row>
    <row r="149" spans="1:23">
      <c r="A149" s="76"/>
      <c r="B149" s="76"/>
      <c r="C149" s="76"/>
      <c r="D149" s="83"/>
      <c r="E149" s="83"/>
      <c r="F149" s="83"/>
      <c r="G149" s="83"/>
      <c r="H149" s="83"/>
      <c r="I149" s="83"/>
      <c r="J149" s="83"/>
      <c r="K149" s="83"/>
      <c r="L149" s="83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</row>
    <row r="150" spans="1:23">
      <c r="A150" s="76"/>
      <c r="B150" s="76"/>
      <c r="C150" s="76"/>
      <c r="D150" s="83"/>
      <c r="E150" s="83"/>
      <c r="F150" s="83"/>
      <c r="G150" s="83"/>
      <c r="H150" s="83"/>
      <c r="I150" s="83"/>
      <c r="J150" s="83"/>
      <c r="K150" s="83"/>
      <c r="L150" s="83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</row>
    <row r="151" spans="1:23">
      <c r="A151" s="76"/>
      <c r="B151" s="76"/>
      <c r="C151" s="76"/>
      <c r="D151" s="83"/>
      <c r="E151" s="83"/>
      <c r="F151" s="83"/>
      <c r="G151" s="83"/>
      <c r="H151" s="83"/>
      <c r="I151" s="83"/>
      <c r="J151" s="83"/>
      <c r="K151" s="83"/>
      <c r="L151" s="83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</row>
    <row r="152" spans="1:23">
      <c r="A152" s="76"/>
      <c r="B152" s="76"/>
      <c r="C152" s="76"/>
      <c r="D152" s="83"/>
      <c r="E152" s="83"/>
      <c r="F152" s="83"/>
      <c r="G152" s="83"/>
      <c r="H152" s="83"/>
      <c r="I152" s="83"/>
      <c r="J152" s="83"/>
      <c r="K152" s="83"/>
      <c r="L152" s="83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</row>
    <row r="153" spans="1:23">
      <c r="A153" s="76"/>
      <c r="B153" s="76"/>
      <c r="C153" s="76"/>
      <c r="D153" s="83"/>
      <c r="E153" s="83"/>
      <c r="F153" s="83"/>
      <c r="G153" s="83"/>
      <c r="H153" s="83"/>
      <c r="I153" s="83"/>
      <c r="J153" s="83"/>
      <c r="K153" s="83"/>
      <c r="L153" s="83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</row>
    <row r="154" spans="1:23">
      <c r="A154" s="76"/>
      <c r="B154" s="76"/>
      <c r="C154" s="76"/>
      <c r="D154" s="83"/>
      <c r="E154" s="83"/>
      <c r="F154" s="83"/>
      <c r="G154" s="83"/>
      <c r="H154" s="83"/>
      <c r="I154" s="83"/>
      <c r="J154" s="83"/>
      <c r="K154" s="83"/>
      <c r="L154" s="83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</row>
    <row r="155" spans="1:23">
      <c r="A155" s="76"/>
      <c r="B155" s="76"/>
      <c r="C155" s="76"/>
      <c r="D155" s="83"/>
      <c r="E155" s="83"/>
      <c r="F155" s="83"/>
      <c r="G155" s="83"/>
      <c r="H155" s="83"/>
      <c r="I155" s="83"/>
      <c r="J155" s="83"/>
      <c r="K155" s="83"/>
      <c r="L155" s="83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</row>
    <row r="156" spans="1:23">
      <c r="A156" s="76"/>
      <c r="B156" s="76"/>
      <c r="C156" s="76"/>
      <c r="D156" s="83"/>
      <c r="E156" s="83"/>
      <c r="F156" s="83"/>
      <c r="G156" s="83"/>
      <c r="H156" s="83"/>
      <c r="I156" s="83"/>
      <c r="J156" s="83"/>
      <c r="K156" s="83"/>
      <c r="L156" s="83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</row>
    <row r="157" spans="1:23">
      <c r="A157" s="76"/>
      <c r="B157" s="76"/>
      <c r="C157" s="76"/>
      <c r="D157" s="83"/>
      <c r="E157" s="83"/>
      <c r="F157" s="83"/>
      <c r="G157" s="83"/>
      <c r="H157" s="83"/>
      <c r="I157" s="83"/>
      <c r="J157" s="83"/>
      <c r="K157" s="83"/>
      <c r="L157" s="83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</row>
    <row r="158" spans="1:23">
      <c r="A158" s="76"/>
      <c r="B158" s="76"/>
      <c r="C158" s="76"/>
      <c r="D158" s="83"/>
      <c r="E158" s="83"/>
      <c r="F158" s="83"/>
      <c r="G158" s="83"/>
      <c r="H158" s="83"/>
      <c r="I158" s="83"/>
      <c r="J158" s="83"/>
      <c r="K158" s="83"/>
      <c r="L158" s="83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</row>
    <row r="159" spans="1:23">
      <c r="A159" s="76"/>
      <c r="B159" s="76"/>
      <c r="C159" s="76"/>
      <c r="D159" s="83"/>
      <c r="E159" s="83"/>
      <c r="F159" s="83"/>
      <c r="G159" s="83"/>
      <c r="H159" s="83"/>
      <c r="I159" s="83"/>
      <c r="J159" s="83"/>
      <c r="K159" s="83"/>
      <c r="L159" s="83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</row>
    <row r="160" spans="1:23">
      <c r="A160" s="76"/>
      <c r="B160" s="76"/>
      <c r="C160" s="76"/>
      <c r="D160" s="83"/>
      <c r="E160" s="83"/>
      <c r="F160" s="83"/>
      <c r="G160" s="83"/>
      <c r="H160" s="83"/>
      <c r="I160" s="83"/>
      <c r="J160" s="83"/>
      <c r="K160" s="83"/>
      <c r="L160" s="83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</row>
    <row r="161" spans="1:23">
      <c r="A161" s="76"/>
      <c r="B161" s="76"/>
      <c r="C161" s="76"/>
      <c r="D161" s="83"/>
      <c r="E161" s="83"/>
      <c r="F161" s="83"/>
      <c r="G161" s="83"/>
      <c r="H161" s="83"/>
      <c r="I161" s="83"/>
      <c r="J161" s="83"/>
      <c r="K161" s="83"/>
      <c r="L161" s="83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</row>
    <row r="162" spans="1:23">
      <c r="A162" s="76"/>
      <c r="B162" s="76"/>
      <c r="C162" s="76"/>
      <c r="D162" s="83"/>
      <c r="E162" s="83"/>
      <c r="F162" s="83"/>
      <c r="G162" s="83"/>
      <c r="H162" s="83"/>
      <c r="I162" s="83"/>
      <c r="J162" s="83"/>
      <c r="K162" s="83"/>
      <c r="L162" s="83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</row>
    <row r="163" spans="1:23">
      <c r="A163" s="76"/>
      <c r="B163" s="76"/>
      <c r="C163" s="76"/>
      <c r="D163" s="83"/>
      <c r="E163" s="83"/>
      <c r="F163" s="83"/>
      <c r="G163" s="83"/>
      <c r="H163" s="83"/>
      <c r="I163" s="83"/>
      <c r="J163" s="83"/>
      <c r="K163" s="83"/>
      <c r="L163" s="83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</row>
    <row r="164" spans="1:23">
      <c r="A164" s="76"/>
      <c r="B164" s="76"/>
      <c r="C164" s="76"/>
      <c r="D164" s="83"/>
      <c r="E164" s="83"/>
      <c r="F164" s="83"/>
      <c r="G164" s="83"/>
      <c r="H164" s="83"/>
      <c r="I164" s="83"/>
      <c r="J164" s="83"/>
      <c r="K164" s="83"/>
      <c r="L164" s="83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</row>
    <row r="165" spans="1:23">
      <c r="A165" s="76"/>
      <c r="B165" s="76"/>
      <c r="C165" s="76"/>
      <c r="D165" s="83"/>
      <c r="E165" s="83"/>
      <c r="F165" s="83"/>
      <c r="G165" s="83"/>
      <c r="H165" s="83"/>
      <c r="I165" s="83"/>
      <c r="J165" s="83"/>
      <c r="K165" s="83"/>
      <c r="L165" s="83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</row>
    <row r="166" spans="1:23">
      <c r="A166" s="76"/>
      <c r="B166" s="76"/>
      <c r="C166" s="76"/>
      <c r="D166" s="83"/>
      <c r="E166" s="83"/>
      <c r="F166" s="83"/>
      <c r="G166" s="83"/>
      <c r="H166" s="83"/>
      <c r="I166" s="83"/>
      <c r="J166" s="83"/>
      <c r="K166" s="83"/>
      <c r="L166" s="83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</row>
    <row r="167" spans="1:23">
      <c r="A167" s="76"/>
      <c r="B167" s="76"/>
      <c r="C167" s="76"/>
      <c r="D167" s="83"/>
      <c r="E167" s="83"/>
      <c r="F167" s="83"/>
      <c r="G167" s="83"/>
      <c r="H167" s="83"/>
      <c r="I167" s="83"/>
      <c r="J167" s="83"/>
      <c r="K167" s="83"/>
      <c r="L167" s="83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</row>
    <row r="168" spans="1:23">
      <c r="A168" s="76"/>
      <c r="B168" s="76"/>
      <c r="C168" s="76"/>
      <c r="D168" s="83"/>
      <c r="E168" s="83"/>
      <c r="F168" s="83"/>
      <c r="G168" s="83"/>
      <c r="H168" s="83"/>
      <c r="I168" s="83"/>
      <c r="J168" s="83"/>
      <c r="K168" s="83"/>
      <c r="L168" s="83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</row>
    <row r="169" spans="1:23">
      <c r="A169" s="76"/>
      <c r="B169" s="76"/>
      <c r="C169" s="76"/>
      <c r="D169" s="83"/>
      <c r="E169" s="83"/>
      <c r="F169" s="83"/>
      <c r="G169" s="83"/>
      <c r="H169" s="83"/>
      <c r="I169" s="83"/>
      <c r="J169" s="83"/>
      <c r="K169" s="83"/>
      <c r="L169" s="83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</row>
    <row r="170" spans="1:23">
      <c r="A170" s="76"/>
      <c r="B170" s="76"/>
      <c r="C170" s="76"/>
      <c r="D170" s="83"/>
      <c r="E170" s="83"/>
      <c r="F170" s="83"/>
      <c r="G170" s="83"/>
      <c r="H170" s="83"/>
      <c r="I170" s="83"/>
      <c r="J170" s="83"/>
      <c r="K170" s="83"/>
      <c r="L170" s="83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</row>
    <row r="171" spans="1:23">
      <c r="A171" s="76"/>
      <c r="B171" s="76"/>
      <c r="C171" s="76"/>
      <c r="D171" s="83"/>
      <c r="E171" s="83"/>
      <c r="F171" s="83"/>
      <c r="G171" s="83"/>
      <c r="H171" s="83"/>
      <c r="I171" s="83"/>
      <c r="J171" s="83"/>
      <c r="K171" s="83"/>
      <c r="L171" s="83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</row>
    <row r="172" spans="1:23">
      <c r="A172" s="76"/>
      <c r="B172" s="76"/>
      <c r="C172" s="76"/>
      <c r="D172" s="83"/>
      <c r="E172" s="83"/>
      <c r="F172" s="83"/>
      <c r="G172" s="83"/>
      <c r="H172" s="83"/>
      <c r="I172" s="83"/>
      <c r="J172" s="83"/>
      <c r="K172" s="83"/>
      <c r="L172" s="83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</row>
    <row r="173" spans="1:23">
      <c r="A173" s="76"/>
      <c r="B173" s="76"/>
      <c r="C173" s="76"/>
      <c r="D173" s="83"/>
      <c r="E173" s="83"/>
      <c r="F173" s="83"/>
      <c r="G173" s="83"/>
      <c r="H173" s="83"/>
      <c r="I173" s="83"/>
      <c r="J173" s="83"/>
      <c r="K173" s="83"/>
      <c r="L173" s="83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</row>
    <row r="174" spans="1:23">
      <c r="A174" s="76"/>
      <c r="B174" s="76"/>
      <c r="C174" s="76"/>
      <c r="D174" s="83"/>
      <c r="E174" s="83"/>
      <c r="F174" s="83"/>
      <c r="G174" s="83"/>
      <c r="H174" s="83"/>
      <c r="I174" s="83"/>
      <c r="J174" s="83"/>
      <c r="K174" s="83"/>
      <c r="L174" s="83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</row>
    <row r="175" spans="1:23">
      <c r="A175" s="76"/>
      <c r="B175" s="76"/>
      <c r="C175" s="76"/>
      <c r="D175" s="83"/>
      <c r="E175" s="83"/>
      <c r="F175" s="83"/>
      <c r="G175" s="83"/>
      <c r="H175" s="83"/>
      <c r="I175" s="83"/>
      <c r="J175" s="83"/>
      <c r="K175" s="83"/>
      <c r="L175" s="83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</row>
    <row r="176" spans="1:23">
      <c r="A176" s="76"/>
      <c r="B176" s="76"/>
      <c r="C176" s="76"/>
      <c r="D176" s="83"/>
      <c r="E176" s="83"/>
      <c r="F176" s="83"/>
      <c r="G176" s="83"/>
      <c r="H176" s="83"/>
      <c r="I176" s="83"/>
      <c r="J176" s="83"/>
      <c r="K176" s="83"/>
      <c r="L176" s="83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</row>
    <row r="177" spans="1:23">
      <c r="A177" s="76"/>
      <c r="B177" s="76"/>
      <c r="C177" s="76"/>
      <c r="D177" s="83"/>
      <c r="E177" s="83"/>
      <c r="F177" s="83"/>
      <c r="G177" s="83"/>
      <c r="H177" s="83"/>
      <c r="I177" s="83"/>
      <c r="J177" s="83"/>
      <c r="K177" s="83"/>
      <c r="L177" s="83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</row>
    <row r="178" spans="1:23">
      <c r="A178" s="76"/>
      <c r="B178" s="76"/>
      <c r="C178" s="76"/>
      <c r="D178" s="83"/>
      <c r="E178" s="83"/>
      <c r="F178" s="83"/>
      <c r="G178" s="83"/>
      <c r="H178" s="83"/>
      <c r="I178" s="83"/>
      <c r="J178" s="83"/>
      <c r="K178" s="83"/>
      <c r="L178" s="83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</row>
    <row r="179" spans="1:23">
      <c r="A179" s="76"/>
      <c r="B179" s="76"/>
      <c r="C179" s="76"/>
      <c r="D179" s="83"/>
      <c r="E179" s="83"/>
      <c r="F179" s="83"/>
      <c r="G179" s="83"/>
      <c r="H179" s="83"/>
      <c r="I179" s="83"/>
      <c r="J179" s="83"/>
      <c r="K179" s="83"/>
      <c r="L179" s="83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</row>
    <row r="180" spans="1:23">
      <c r="A180" s="76"/>
      <c r="B180" s="76"/>
      <c r="C180" s="76"/>
      <c r="D180" s="83"/>
      <c r="E180" s="83"/>
      <c r="F180" s="83"/>
      <c r="G180" s="83"/>
      <c r="H180" s="83"/>
      <c r="I180" s="83"/>
      <c r="J180" s="83"/>
      <c r="K180" s="83"/>
      <c r="L180" s="83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</row>
    <row r="181" spans="1:23">
      <c r="A181" s="76"/>
      <c r="B181" s="76"/>
      <c r="C181" s="76"/>
      <c r="D181" s="83"/>
      <c r="E181" s="83"/>
      <c r="F181" s="83"/>
      <c r="G181" s="83"/>
      <c r="H181" s="83"/>
      <c r="I181" s="83"/>
      <c r="J181" s="83"/>
      <c r="K181" s="83"/>
      <c r="L181" s="83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</row>
    <row r="182" spans="1:23">
      <c r="A182" s="76"/>
      <c r="B182" s="76"/>
      <c r="C182" s="76"/>
      <c r="D182" s="83"/>
      <c r="E182" s="83"/>
      <c r="F182" s="83"/>
      <c r="G182" s="83"/>
      <c r="H182" s="83"/>
      <c r="I182" s="83"/>
      <c r="J182" s="83"/>
      <c r="K182" s="83"/>
      <c r="L182" s="83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</row>
    <row r="183" spans="1:23">
      <c r="A183" s="76"/>
      <c r="B183" s="76"/>
      <c r="C183" s="76"/>
      <c r="D183" s="83"/>
      <c r="E183" s="83"/>
      <c r="F183" s="83"/>
      <c r="G183" s="83"/>
      <c r="H183" s="83"/>
      <c r="I183" s="83"/>
      <c r="J183" s="83"/>
      <c r="K183" s="83"/>
      <c r="L183" s="83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</row>
    <row r="184" spans="1:23">
      <c r="A184" s="76"/>
      <c r="B184" s="76"/>
      <c r="C184" s="76"/>
      <c r="D184" s="83"/>
      <c r="E184" s="83"/>
      <c r="F184" s="83"/>
      <c r="G184" s="83"/>
      <c r="H184" s="83"/>
      <c r="I184" s="83"/>
      <c r="J184" s="83"/>
      <c r="K184" s="83"/>
      <c r="L184" s="83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</row>
    <row r="185" spans="1:23">
      <c r="A185" s="76"/>
      <c r="B185" s="76"/>
      <c r="C185" s="76"/>
      <c r="D185" s="83"/>
      <c r="E185" s="83"/>
      <c r="F185" s="83"/>
      <c r="G185" s="83"/>
      <c r="H185" s="83"/>
      <c r="I185" s="83"/>
      <c r="J185" s="83"/>
      <c r="K185" s="83"/>
      <c r="L185" s="83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</row>
    <row r="186" spans="1:23">
      <c r="A186" s="76"/>
      <c r="B186" s="76"/>
      <c r="C186" s="76"/>
      <c r="D186" s="83"/>
      <c r="E186" s="83"/>
      <c r="F186" s="83"/>
      <c r="G186" s="83"/>
      <c r="H186" s="83"/>
      <c r="I186" s="83"/>
      <c r="J186" s="83"/>
      <c r="K186" s="83"/>
      <c r="L186" s="83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</row>
    <row r="187" spans="1:23">
      <c r="A187" s="76"/>
      <c r="B187" s="76"/>
      <c r="C187" s="76"/>
      <c r="D187" s="83"/>
      <c r="E187" s="83"/>
      <c r="F187" s="83"/>
      <c r="G187" s="83"/>
      <c r="H187" s="83"/>
      <c r="I187" s="83"/>
      <c r="J187" s="83"/>
      <c r="K187" s="83"/>
      <c r="L187" s="83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</row>
    <row r="188" spans="1:23">
      <c r="A188" s="76"/>
      <c r="B188" s="76"/>
      <c r="C188" s="76"/>
      <c r="D188" s="83"/>
      <c r="E188" s="83"/>
      <c r="F188" s="83"/>
      <c r="G188" s="83"/>
      <c r="H188" s="83"/>
      <c r="I188" s="83"/>
      <c r="J188" s="83"/>
      <c r="K188" s="83"/>
      <c r="L188" s="83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</row>
    <row r="189" spans="1:23">
      <c r="A189" s="76"/>
      <c r="B189" s="76"/>
      <c r="C189" s="76"/>
      <c r="D189" s="83"/>
      <c r="E189" s="83"/>
      <c r="F189" s="83"/>
      <c r="G189" s="83"/>
      <c r="H189" s="83"/>
      <c r="I189" s="83"/>
      <c r="J189" s="83"/>
      <c r="K189" s="83"/>
      <c r="L189" s="83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</row>
    <row r="190" spans="1:23">
      <c r="A190" s="76"/>
      <c r="B190" s="76"/>
      <c r="C190" s="76"/>
      <c r="D190" s="83"/>
      <c r="E190" s="83"/>
      <c r="F190" s="83"/>
      <c r="G190" s="83"/>
      <c r="H190" s="83"/>
      <c r="I190" s="83"/>
      <c r="J190" s="83"/>
      <c r="K190" s="83"/>
      <c r="L190" s="83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</row>
    <row r="191" spans="1:23">
      <c r="A191" s="76"/>
      <c r="B191" s="76"/>
      <c r="C191" s="76"/>
      <c r="D191" s="83"/>
      <c r="E191" s="83"/>
      <c r="F191" s="83"/>
      <c r="G191" s="83"/>
      <c r="H191" s="83"/>
      <c r="I191" s="83"/>
      <c r="J191" s="83"/>
      <c r="K191" s="83"/>
      <c r="L191" s="83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</row>
    <row r="192" spans="1:23">
      <c r="A192" s="76"/>
      <c r="B192" s="76"/>
      <c r="C192" s="76"/>
      <c r="D192" s="83"/>
      <c r="E192" s="83"/>
      <c r="F192" s="83"/>
      <c r="G192" s="83"/>
      <c r="H192" s="83"/>
      <c r="I192" s="83"/>
      <c r="J192" s="83"/>
      <c r="K192" s="83"/>
      <c r="L192" s="83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</row>
    <row r="193" spans="1:23">
      <c r="A193" s="76"/>
      <c r="B193" s="76"/>
      <c r="C193" s="76"/>
      <c r="D193" s="83"/>
      <c r="E193" s="83"/>
      <c r="F193" s="83"/>
      <c r="G193" s="83"/>
      <c r="H193" s="83"/>
      <c r="I193" s="83"/>
      <c r="J193" s="83"/>
      <c r="K193" s="83"/>
      <c r="L193" s="83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</row>
    <row r="194" spans="1:23">
      <c r="A194" s="76"/>
      <c r="B194" s="76"/>
      <c r="C194" s="76"/>
      <c r="D194" s="83"/>
      <c r="E194" s="83"/>
      <c r="F194" s="83"/>
      <c r="G194" s="83"/>
      <c r="H194" s="83"/>
      <c r="I194" s="83"/>
      <c r="J194" s="83"/>
      <c r="K194" s="83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</row>
    <row r="195" spans="1:23">
      <c r="A195" s="76"/>
      <c r="B195" s="76"/>
      <c r="C195" s="76"/>
      <c r="D195" s="83"/>
      <c r="E195" s="83"/>
      <c r="F195" s="83"/>
      <c r="G195" s="83"/>
      <c r="H195" s="83"/>
      <c r="I195" s="83"/>
      <c r="J195" s="83"/>
      <c r="K195" s="83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</row>
    <row r="196" spans="1:23">
      <c r="A196" s="76"/>
      <c r="B196" s="76"/>
      <c r="C196" s="76"/>
      <c r="D196" s="83"/>
      <c r="E196" s="83"/>
      <c r="F196" s="83"/>
      <c r="G196" s="83"/>
      <c r="H196" s="83"/>
      <c r="I196" s="83"/>
      <c r="J196" s="83"/>
      <c r="K196" s="83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</row>
    <row r="197" spans="1:23">
      <c r="A197" s="76"/>
      <c r="B197" s="76"/>
      <c r="C197" s="76"/>
      <c r="D197" s="83"/>
      <c r="E197" s="83"/>
      <c r="F197" s="83"/>
      <c r="G197" s="83"/>
      <c r="H197" s="83"/>
      <c r="I197" s="83"/>
      <c r="J197" s="83"/>
      <c r="K197" s="83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</row>
    <row r="198" spans="1:23">
      <c r="A198" s="76"/>
      <c r="B198" s="76"/>
      <c r="C198" s="76"/>
      <c r="D198" s="83"/>
      <c r="E198" s="83"/>
      <c r="F198" s="83"/>
      <c r="G198" s="83"/>
      <c r="H198" s="83"/>
      <c r="I198" s="83"/>
      <c r="J198" s="83"/>
      <c r="K198" s="83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</row>
    <row r="199" spans="1:23">
      <c r="A199" s="76"/>
      <c r="B199" s="76"/>
      <c r="C199" s="76"/>
      <c r="D199" s="83"/>
      <c r="E199" s="83"/>
      <c r="F199" s="83"/>
      <c r="G199" s="83"/>
      <c r="H199" s="83"/>
      <c r="I199" s="83"/>
      <c r="J199" s="83"/>
      <c r="K199" s="83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</row>
    <row r="200" spans="1:23">
      <c r="A200" s="76"/>
      <c r="B200" s="76"/>
      <c r="C200" s="76"/>
      <c r="D200" s="83"/>
      <c r="E200" s="83"/>
      <c r="F200" s="83"/>
      <c r="G200" s="83"/>
      <c r="H200" s="83"/>
      <c r="I200" s="83"/>
      <c r="J200" s="83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</row>
    <row r="201" spans="1:23">
      <c r="A201" s="76"/>
      <c r="B201" s="76"/>
      <c r="C201" s="76"/>
      <c r="D201" s="83"/>
      <c r="E201" s="83"/>
      <c r="F201" s="83"/>
      <c r="G201" s="83"/>
      <c r="H201" s="83"/>
      <c r="I201" s="83"/>
      <c r="J201" s="83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</row>
    <row r="202" spans="1:23">
      <c r="A202" s="76"/>
      <c r="B202" s="76"/>
      <c r="C202" s="76"/>
      <c r="D202" s="83"/>
      <c r="E202" s="83"/>
      <c r="F202" s="83"/>
      <c r="G202" s="83"/>
      <c r="H202" s="83"/>
      <c r="I202" s="83"/>
      <c r="J202" s="83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</row>
    <row r="203" spans="1:23">
      <c r="A203" s="76"/>
      <c r="B203" s="76"/>
      <c r="C203" s="76"/>
      <c r="D203" s="83"/>
      <c r="E203" s="83"/>
      <c r="F203" s="83"/>
      <c r="G203" s="83"/>
      <c r="H203" s="83"/>
      <c r="I203" s="83"/>
      <c r="J203" s="83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</row>
    <row r="204" spans="1:23">
      <c r="A204" s="76"/>
      <c r="B204" s="76"/>
      <c r="C204" s="76"/>
      <c r="D204" s="83"/>
      <c r="E204" s="83"/>
      <c r="F204" s="83"/>
      <c r="G204" s="83"/>
      <c r="H204" s="83"/>
      <c r="I204" s="83"/>
      <c r="J204" s="83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</row>
    <row r="205" spans="1:23">
      <c r="A205" s="76"/>
      <c r="B205" s="76"/>
      <c r="C205" s="76"/>
      <c r="D205" s="83"/>
      <c r="E205" s="83"/>
      <c r="F205" s="83"/>
      <c r="G205" s="83"/>
      <c r="H205" s="83"/>
      <c r="I205" s="83"/>
      <c r="J205" s="83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</row>
    <row r="206" spans="1:23">
      <c r="A206" s="76"/>
      <c r="B206" s="76"/>
      <c r="C206" s="76"/>
      <c r="D206" s="76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</row>
    <row r="207" spans="1:23">
      <c r="A207" s="76"/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</row>
    <row r="208" spans="1:23">
      <c r="A208" s="76"/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</row>
    <row r="209" spans="1:23">
      <c r="A209" s="76"/>
      <c r="B209" s="76"/>
      <c r="C209" s="76"/>
      <c r="D209" s="76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</row>
    <row r="210" spans="1:23">
      <c r="A210" s="76"/>
      <c r="B210" s="76"/>
      <c r="C210" s="76"/>
      <c r="D210" s="76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</row>
    <row r="211" spans="1:23">
      <c r="A211" s="76"/>
      <c r="B211" s="76"/>
      <c r="C211" s="76"/>
      <c r="D211" s="76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</row>
    <row r="212" spans="1:23">
      <c r="A212" s="76"/>
      <c r="B212" s="76"/>
      <c r="C212" s="76"/>
      <c r="D212" s="76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</row>
    <row r="213" spans="1:23">
      <c r="A213" s="76"/>
      <c r="B213" s="76"/>
      <c r="C213" s="76"/>
      <c r="D213" s="76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</row>
    <row r="214" spans="1:23">
      <c r="A214" s="76"/>
      <c r="B214" s="76"/>
      <c r="C214" s="76"/>
      <c r="D214" s="76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</row>
    <row r="215" spans="1:23">
      <c r="A215" s="76"/>
      <c r="B215" s="76"/>
      <c r="C215" s="76"/>
      <c r="D215" s="76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</row>
    <row r="216" spans="1:23">
      <c r="A216" s="76"/>
      <c r="B216" s="76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</row>
    <row r="217" spans="1:23">
      <c r="A217" s="76"/>
      <c r="B217" s="76"/>
      <c r="C217" s="76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</row>
    <row r="218" spans="1:23">
      <c r="A218" s="76"/>
      <c r="B218" s="76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</row>
    <row r="219" spans="1:23">
      <c r="A219" s="76"/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</row>
    <row r="220" spans="1:23">
      <c r="A220" s="76"/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</row>
    <row r="221" spans="1:23">
      <c r="A221" s="76"/>
      <c r="B221" s="76"/>
      <c r="C221" s="76"/>
      <c r="D221" s="76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</row>
    <row r="222" spans="1:23">
      <c r="A222" s="76"/>
      <c r="B222" s="76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</row>
    <row r="223" spans="1:23">
      <c r="A223" s="76"/>
      <c r="B223" s="76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</row>
    <row r="224" spans="1:23">
      <c r="A224" s="76"/>
      <c r="B224" s="76"/>
      <c r="C224" s="76"/>
      <c r="D224" s="76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</row>
    <row r="225" spans="1:23">
      <c r="A225" s="76"/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</row>
    <row r="226" spans="1:23">
      <c r="A226" s="76"/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</row>
    <row r="227" spans="1:23">
      <c r="A227" s="76"/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</row>
    <row r="228" spans="1:23">
      <c r="A228" s="76"/>
      <c r="B228" s="76"/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</row>
    <row r="229" spans="1:23">
      <c r="A229" s="76"/>
      <c r="B229" s="76"/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</row>
    <row r="230" spans="1:23">
      <c r="A230" s="76"/>
      <c r="B230" s="76"/>
      <c r="C230" s="76"/>
      <c r="D230" s="76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</row>
    <row r="231" spans="1:23">
      <c r="A231" s="76"/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</row>
    <row r="232" spans="1:23">
      <c r="A232" s="76"/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</row>
    <row r="233" spans="1:23">
      <c r="A233" s="76"/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</row>
    <row r="234" spans="1:23">
      <c r="A234" s="76"/>
      <c r="B234" s="76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</row>
    <row r="235" spans="1:23">
      <c r="A235" s="76"/>
      <c r="B235" s="76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</row>
    <row r="236" spans="1:23">
      <c r="A236" s="76"/>
      <c r="B236" s="76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</row>
    <row r="237" spans="1:23">
      <c r="A237" s="76"/>
      <c r="B237" s="76"/>
      <c r="C237" s="76"/>
      <c r="D237" s="76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</row>
    <row r="238" spans="1:23">
      <c r="A238" s="76"/>
      <c r="B238" s="76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</row>
    <row r="239" spans="1:23">
      <c r="A239" s="76"/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</row>
    <row r="240" spans="1:23">
      <c r="A240" s="76"/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</row>
    <row r="241" spans="1:18">
      <c r="A241" s="76"/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</row>
    <row r="242" spans="1:18">
      <c r="A242" s="76"/>
      <c r="B242" s="76"/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</row>
    <row r="243" spans="1:18">
      <c r="A243" s="76"/>
      <c r="B243" s="76"/>
      <c r="C243" s="76"/>
      <c r="D243" s="76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</row>
    <row r="244" spans="1:18">
      <c r="A244" s="76"/>
      <c r="B244" s="76"/>
      <c r="C244" s="76"/>
      <c r="D244" s="76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</row>
    <row r="245" spans="1:18">
      <c r="A245" s="76"/>
      <c r="B245" s="76"/>
      <c r="C245" s="76"/>
      <c r="D245" s="76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</row>
    <row r="246" spans="1:18">
      <c r="A246" s="76"/>
      <c r="B246" s="76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</row>
    <row r="247" spans="1:18">
      <c r="A247" s="76"/>
      <c r="B247" s="76"/>
      <c r="C247" s="76"/>
      <c r="D247" s="76"/>
      <c r="E247" s="76"/>
      <c r="F247" s="76"/>
      <c r="G247" s="76"/>
      <c r="H247" s="76"/>
      <c r="I247" s="76"/>
      <c r="J247" s="76"/>
      <c r="K247" s="76"/>
    </row>
    <row r="248" spans="1:18">
      <c r="A248" s="76"/>
      <c r="B248" s="76"/>
      <c r="C248" s="76"/>
      <c r="D248" s="76"/>
      <c r="E248" s="76"/>
      <c r="F248" s="76"/>
      <c r="G248" s="76"/>
      <c r="H248" s="76"/>
      <c r="I248" s="76"/>
      <c r="J248" s="76"/>
      <c r="K248" s="76"/>
    </row>
    <row r="249" spans="1:18">
      <c r="A249" s="76"/>
      <c r="B249" s="76"/>
      <c r="C249" s="76"/>
      <c r="D249" s="76"/>
      <c r="E249" s="76"/>
      <c r="F249" s="76"/>
      <c r="G249" s="76"/>
      <c r="H249" s="76"/>
      <c r="I249" s="76"/>
      <c r="J249" s="76"/>
      <c r="K249" s="76"/>
    </row>
    <row r="250" spans="1:18">
      <c r="A250" s="76"/>
      <c r="B250" s="76"/>
      <c r="C250" s="76"/>
      <c r="D250" s="76"/>
      <c r="E250" s="76"/>
      <c r="F250" s="76"/>
      <c r="G250" s="76"/>
      <c r="H250" s="76"/>
      <c r="I250" s="76"/>
      <c r="J250" s="76"/>
      <c r="K250" s="76"/>
    </row>
    <row r="251" spans="1:18">
      <c r="A251" s="76"/>
      <c r="B251" s="76"/>
      <c r="C251" s="76"/>
      <c r="D251" s="76"/>
      <c r="E251" s="76"/>
      <c r="F251" s="76"/>
      <c r="G251" s="76"/>
      <c r="H251" s="76"/>
      <c r="I251" s="76"/>
      <c r="J251" s="76"/>
      <c r="K251" s="76"/>
    </row>
    <row r="252" spans="1:18">
      <c r="A252" s="76"/>
      <c r="B252" s="76"/>
      <c r="C252" s="76"/>
      <c r="D252" s="76"/>
      <c r="E252" s="76"/>
      <c r="F252" s="76"/>
      <c r="G252" s="76"/>
      <c r="H252" s="76"/>
      <c r="I252" s="76"/>
      <c r="J252" s="76"/>
      <c r="K252" s="76"/>
    </row>
    <row r="253" spans="1:18">
      <c r="A253" s="76"/>
      <c r="B253" s="76"/>
      <c r="C253" s="76"/>
      <c r="D253" s="76"/>
      <c r="E253" s="76"/>
      <c r="F253" s="76"/>
      <c r="G253" s="76"/>
      <c r="H253" s="76"/>
      <c r="I253" s="76"/>
      <c r="J253" s="76"/>
    </row>
    <row r="254" spans="1:18">
      <c r="A254" s="76"/>
      <c r="B254" s="76"/>
      <c r="C254" s="76"/>
      <c r="D254" s="76"/>
      <c r="E254" s="76"/>
      <c r="F254" s="76"/>
      <c r="G254" s="76"/>
      <c r="H254" s="76"/>
      <c r="I254" s="76"/>
      <c r="J254" s="76"/>
    </row>
    <row r="255" spans="1:18">
      <c r="A255" s="76"/>
      <c r="B255" s="76"/>
      <c r="C255" s="76"/>
      <c r="D255" s="76"/>
      <c r="E255" s="76"/>
      <c r="F255" s="76"/>
      <c r="G255" s="76"/>
      <c r="H255" s="76"/>
      <c r="I255" s="76"/>
      <c r="J255" s="76"/>
    </row>
    <row r="256" spans="1:18">
      <c r="A256" s="76"/>
      <c r="B256" s="76"/>
      <c r="C256" s="76"/>
      <c r="D256" s="76"/>
      <c r="E256" s="76"/>
      <c r="F256" s="76"/>
      <c r="G256" s="76"/>
      <c r="H256" s="76"/>
      <c r="I256" s="76"/>
      <c r="J256" s="76"/>
    </row>
    <row r="257" spans="1:10">
      <c r="A257" s="76"/>
      <c r="B257" s="76"/>
      <c r="C257" s="76"/>
      <c r="D257" s="76"/>
      <c r="E257" s="76"/>
      <c r="F257" s="76"/>
      <c r="G257" s="76"/>
      <c r="H257" s="76"/>
      <c r="I257" s="76"/>
      <c r="J257" s="76"/>
    </row>
    <row r="258" spans="1:10">
      <c r="A258" s="76"/>
      <c r="B258" s="76"/>
      <c r="C258" s="76"/>
      <c r="D258" s="76"/>
      <c r="E258" s="76"/>
      <c r="F258" s="76"/>
      <c r="G258" s="76"/>
      <c r="H258" s="76"/>
      <c r="I258" s="76"/>
      <c r="J258" s="76"/>
    </row>
    <row r="259" spans="1:10">
      <c r="A259" s="76"/>
    </row>
  </sheetData>
  <mergeCells count="2"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21" orientation="portrait" r:id="rId1"/>
  <headerFooter scaleWithDoc="0" alignWithMargins="0">
    <oddFooter>&amp;L2009/2010 REVISED  OPEX &amp; CAPEX BUDGET&amp;C&amp;F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2:D172"/>
  <sheetViews>
    <sheetView topLeftCell="A149" workbookViewId="0">
      <selection activeCell="D150" sqref="D150"/>
    </sheetView>
  </sheetViews>
  <sheetFormatPr defaultRowHeight="14.25"/>
  <cols>
    <col min="1" max="1" width="5.33203125" style="1" customWidth="1"/>
    <col min="2" max="2" width="43.21875" style="1" customWidth="1"/>
    <col min="3" max="3" width="19" style="1" customWidth="1"/>
    <col min="4" max="4" width="15.44140625" style="1" customWidth="1"/>
    <col min="5" max="16384" width="8.88671875" style="1"/>
  </cols>
  <sheetData>
    <row r="2" spans="2:4">
      <c r="B2" s="430"/>
      <c r="C2" s="430"/>
    </row>
    <row r="6" spans="2:4">
      <c r="B6" t="s">
        <v>652</v>
      </c>
    </row>
    <row r="7" spans="2:4">
      <c r="B7" s="430" t="s">
        <v>653</v>
      </c>
    </row>
    <row r="8" spans="2:4">
      <c r="B8"/>
    </row>
    <row r="9" spans="2:4">
      <c r="B9" s="431" t="s">
        <v>654</v>
      </c>
      <c r="C9" s="432"/>
      <c r="D9" s="432"/>
    </row>
    <row r="10" spans="2:4">
      <c r="B10" s="431" t="s">
        <v>655</v>
      </c>
      <c r="C10" s="432"/>
      <c r="D10" s="432"/>
    </row>
    <row r="11" spans="2:4">
      <c r="B11" s="431" t="s">
        <v>656</v>
      </c>
      <c r="C11" s="432"/>
      <c r="D11" s="432"/>
    </row>
    <row r="12" spans="2:4">
      <c r="B12" s="431" t="s">
        <v>657</v>
      </c>
      <c r="C12" s="432"/>
      <c r="D12" s="432"/>
    </row>
    <row r="13" spans="2:4">
      <c r="B13" s="431"/>
      <c r="C13" s="432"/>
      <c r="D13" s="432"/>
    </row>
    <row r="14" spans="2:4">
      <c r="B14" s="431" t="s">
        <v>658</v>
      </c>
      <c r="C14" s="432"/>
      <c r="D14" s="432"/>
    </row>
    <row r="15" spans="2:4">
      <c r="B15" s="431" t="s">
        <v>659</v>
      </c>
      <c r="C15" s="432"/>
      <c r="D15" s="432"/>
    </row>
    <row r="16" spans="2:4">
      <c r="B16" s="431" t="s">
        <v>660</v>
      </c>
      <c r="C16" s="432"/>
      <c r="D16" s="432"/>
    </row>
    <row r="17" spans="1:4">
      <c r="B17" s="431" t="s">
        <v>661</v>
      </c>
      <c r="C17" s="432"/>
      <c r="D17" s="432"/>
    </row>
    <row r="18" spans="1:4">
      <c r="B18" s="431" t="s">
        <v>662</v>
      </c>
      <c r="C18" s="432"/>
      <c r="D18" s="432"/>
    </row>
    <row r="19" spans="1:4">
      <c r="B19" s="431" t="s">
        <v>663</v>
      </c>
      <c r="C19" s="432"/>
      <c r="D19" s="432"/>
    </row>
    <row r="20" spans="1:4">
      <c r="B20" s="431" t="s">
        <v>664</v>
      </c>
      <c r="C20" s="432"/>
      <c r="D20" s="432"/>
    </row>
    <row r="21" spans="1:4">
      <c r="B21"/>
    </row>
    <row r="22" spans="1:4">
      <c r="B22"/>
    </row>
    <row r="23" spans="1:4" ht="16.5">
      <c r="A23" s="442"/>
      <c r="B23" s="442"/>
      <c r="C23" s="3" t="s">
        <v>14</v>
      </c>
      <c r="D23" s="2" t="s">
        <v>15</v>
      </c>
    </row>
    <row r="24" spans="1:4" ht="16.5">
      <c r="A24" s="446"/>
      <c r="B24" s="446"/>
      <c r="C24" s="4" t="s">
        <v>342</v>
      </c>
      <c r="D24" s="4" t="s">
        <v>342</v>
      </c>
    </row>
    <row r="25" spans="1:4" ht="16.5">
      <c r="A25" s="444" t="s">
        <v>551</v>
      </c>
      <c r="B25" s="444"/>
      <c r="C25" s="5"/>
      <c r="D25" s="6"/>
    </row>
    <row r="26" spans="1:4" ht="39.75" customHeight="1">
      <c r="A26" s="427">
        <v>1.1000000000000001</v>
      </c>
      <c r="B26" s="428" t="s">
        <v>343</v>
      </c>
      <c r="C26" s="429">
        <v>955</v>
      </c>
      <c r="D26" s="7">
        <f>+C26*10/100+C26</f>
        <v>1050.5</v>
      </c>
    </row>
    <row r="27" spans="1:4" ht="16.5">
      <c r="A27" s="427">
        <v>1.2</v>
      </c>
      <c r="B27" s="428" t="s">
        <v>344</v>
      </c>
      <c r="C27" s="429">
        <v>0</v>
      </c>
      <c r="D27" s="7">
        <f t="shared" ref="D27:D33" si="0">+C27*10/100+C27</f>
        <v>0</v>
      </c>
    </row>
    <row r="28" spans="1:4" ht="16.5">
      <c r="A28" s="427">
        <v>1.3</v>
      </c>
      <c r="B28" s="428" t="s">
        <v>345</v>
      </c>
      <c r="C28" s="8">
        <v>310.2</v>
      </c>
      <c r="D28" s="7">
        <f t="shared" si="0"/>
        <v>341.21999999999997</v>
      </c>
    </row>
    <row r="29" spans="1:4" ht="20.25" customHeight="1">
      <c r="A29" s="427">
        <v>1.4</v>
      </c>
      <c r="B29" s="428" t="s">
        <v>346</v>
      </c>
      <c r="C29" s="8">
        <v>465.66</v>
      </c>
      <c r="D29" s="7">
        <f t="shared" si="0"/>
        <v>512.226</v>
      </c>
    </row>
    <row r="30" spans="1:4" ht="16.5" customHeight="1">
      <c r="A30" s="427">
        <v>1.5</v>
      </c>
      <c r="B30" s="428" t="s">
        <v>347</v>
      </c>
      <c r="C30" s="8">
        <v>310.2</v>
      </c>
      <c r="D30" s="7">
        <f t="shared" si="0"/>
        <v>341.21999999999997</v>
      </c>
    </row>
    <row r="31" spans="1:4" ht="19.5" customHeight="1">
      <c r="A31" s="427">
        <v>1.6</v>
      </c>
      <c r="B31" s="428" t="s">
        <v>449</v>
      </c>
      <c r="C31" s="427">
        <v>1551.55</v>
      </c>
      <c r="D31" s="7">
        <f t="shared" si="0"/>
        <v>1706.7049999999999</v>
      </c>
    </row>
    <row r="32" spans="1:4" ht="20.25" customHeight="1">
      <c r="A32" s="427">
        <v>1.7</v>
      </c>
      <c r="B32" s="428" t="s">
        <v>450</v>
      </c>
      <c r="C32" s="429">
        <v>0</v>
      </c>
      <c r="D32" s="7">
        <f t="shared" si="0"/>
        <v>0</v>
      </c>
    </row>
    <row r="33" spans="1:4" ht="19.5" customHeight="1">
      <c r="A33" s="427">
        <v>1.8</v>
      </c>
      <c r="B33" s="428" t="s">
        <v>451</v>
      </c>
      <c r="C33" s="8">
        <v>930.93</v>
      </c>
      <c r="D33" s="7">
        <f t="shared" si="0"/>
        <v>1024.0229999999999</v>
      </c>
    </row>
    <row r="34" spans="1:4" ht="16.5">
      <c r="A34" s="427"/>
      <c r="B34" s="427"/>
      <c r="C34" s="427"/>
      <c r="D34" s="9"/>
    </row>
    <row r="35" spans="1:4" ht="31.5" customHeight="1">
      <c r="A35" s="444" t="s">
        <v>552</v>
      </c>
      <c r="B35" s="444"/>
      <c r="C35" s="427"/>
      <c r="D35" s="9"/>
    </row>
    <row r="36" spans="1:4" ht="26.25" customHeight="1">
      <c r="A36" s="427">
        <v>2.1</v>
      </c>
      <c r="B36" s="428" t="s">
        <v>452</v>
      </c>
      <c r="C36" s="8">
        <v>143.22</v>
      </c>
      <c r="D36" s="7">
        <f t="shared" ref="D36:D38" si="1">+C36*10/100+C36</f>
        <v>157.542</v>
      </c>
    </row>
    <row r="37" spans="1:4" ht="20.25" customHeight="1">
      <c r="A37" s="427">
        <v>2.2000000000000002</v>
      </c>
      <c r="B37" s="428" t="s">
        <v>348</v>
      </c>
      <c r="C37" s="8">
        <v>358.05</v>
      </c>
      <c r="D37" s="7">
        <f t="shared" si="1"/>
        <v>393.85500000000002</v>
      </c>
    </row>
    <row r="38" spans="1:4" ht="16.5">
      <c r="A38" s="427">
        <v>2.2999999999999998</v>
      </c>
      <c r="B38" s="428" t="s">
        <v>349</v>
      </c>
      <c r="C38" s="427">
        <v>596.54999999999995</v>
      </c>
      <c r="D38" s="7">
        <f t="shared" si="1"/>
        <v>656.20499999999993</v>
      </c>
    </row>
    <row r="39" spans="1:4" ht="16.5">
      <c r="A39" s="427"/>
      <c r="B39" s="427"/>
      <c r="C39" s="427"/>
      <c r="D39" s="9"/>
    </row>
    <row r="40" spans="1:4" ht="31.5" customHeight="1">
      <c r="A40" s="444" t="s">
        <v>553</v>
      </c>
      <c r="B40" s="444"/>
      <c r="C40" s="5"/>
      <c r="D40" s="9"/>
    </row>
    <row r="41" spans="1:4" ht="27.75" customHeight="1">
      <c r="A41" s="427">
        <v>3.1</v>
      </c>
      <c r="B41" s="428" t="s">
        <v>350</v>
      </c>
      <c r="C41" s="8">
        <v>1014.48</v>
      </c>
      <c r="D41" s="7">
        <f t="shared" ref="D41:D44" si="2">+C41*10/100+C41</f>
        <v>1115.9280000000001</v>
      </c>
    </row>
    <row r="42" spans="1:4" ht="27" customHeight="1">
      <c r="A42" s="427">
        <v>3.2</v>
      </c>
      <c r="B42" s="428" t="s">
        <v>351</v>
      </c>
      <c r="C42" s="8">
        <v>507.25</v>
      </c>
      <c r="D42" s="7">
        <f t="shared" si="2"/>
        <v>557.97500000000002</v>
      </c>
    </row>
    <row r="43" spans="1:4" ht="23.25" customHeight="1">
      <c r="A43" s="427">
        <v>3.3</v>
      </c>
      <c r="B43" s="428" t="s">
        <v>352</v>
      </c>
      <c r="C43" s="8">
        <v>1014.48</v>
      </c>
      <c r="D43" s="7">
        <f t="shared" si="2"/>
        <v>1115.9280000000001</v>
      </c>
    </row>
    <row r="44" spans="1:4" ht="24.75" customHeight="1">
      <c r="A44" s="427">
        <v>3.4</v>
      </c>
      <c r="B44" s="428" t="s">
        <v>353</v>
      </c>
      <c r="C44" s="8">
        <v>1832.03</v>
      </c>
      <c r="D44" s="7">
        <f t="shared" si="2"/>
        <v>2015.2329999999999</v>
      </c>
    </row>
    <row r="45" spans="1:4" ht="16.5">
      <c r="A45" s="427"/>
      <c r="B45" s="427"/>
      <c r="C45" s="427"/>
      <c r="D45" s="9"/>
    </row>
    <row r="46" spans="1:4" ht="47.25" customHeight="1">
      <c r="A46" s="444" t="s">
        <v>554</v>
      </c>
      <c r="B46" s="444"/>
      <c r="C46" s="427"/>
      <c r="D46" s="9"/>
    </row>
    <row r="47" spans="1:4" ht="40.5" customHeight="1">
      <c r="A47" s="427">
        <v>4.0999999999999996</v>
      </c>
      <c r="B47" s="428" t="s">
        <v>453</v>
      </c>
      <c r="C47" s="429">
        <v>0</v>
      </c>
      <c r="D47" s="7">
        <f t="shared" ref="D47:D53" si="3">+C47*10/100+C47</f>
        <v>0</v>
      </c>
    </row>
    <row r="48" spans="1:4" ht="19.5" customHeight="1">
      <c r="A48" s="427">
        <v>4.2</v>
      </c>
      <c r="B48" s="428" t="s">
        <v>454</v>
      </c>
      <c r="C48" s="429">
        <v>0</v>
      </c>
      <c r="D48" s="7">
        <f t="shared" si="3"/>
        <v>0</v>
      </c>
    </row>
    <row r="49" spans="1:4" ht="16.5" hidden="1">
      <c r="A49" s="427">
        <v>4.3</v>
      </c>
      <c r="B49" s="428" t="s">
        <v>283</v>
      </c>
      <c r="C49" s="429">
        <v>100</v>
      </c>
      <c r="D49" s="7">
        <f t="shared" si="3"/>
        <v>110</v>
      </c>
    </row>
    <row r="50" spans="1:4" ht="16.5" hidden="1" customHeight="1">
      <c r="A50" s="442">
        <v>4.4000000000000004</v>
      </c>
      <c r="B50" s="428" t="s">
        <v>354</v>
      </c>
      <c r="C50" s="442"/>
      <c r="D50" s="7">
        <f t="shared" si="3"/>
        <v>0</v>
      </c>
    </row>
    <row r="51" spans="1:4" ht="16.5" hidden="1" customHeight="1">
      <c r="A51" s="442"/>
      <c r="B51" s="428" t="s">
        <v>355</v>
      </c>
      <c r="C51" s="442"/>
      <c r="D51" s="7">
        <f t="shared" si="3"/>
        <v>0</v>
      </c>
    </row>
    <row r="52" spans="1:4" ht="16.5">
      <c r="A52" s="427">
        <v>4.5</v>
      </c>
      <c r="B52" s="428" t="s">
        <v>107</v>
      </c>
      <c r="C52" s="429">
        <v>500</v>
      </c>
      <c r="D52" s="7">
        <f t="shared" si="3"/>
        <v>550</v>
      </c>
    </row>
    <row r="53" spans="1:4" ht="16.5">
      <c r="A53" s="427">
        <v>4.5999999999999996</v>
      </c>
      <c r="B53" s="428" t="s">
        <v>356</v>
      </c>
      <c r="C53" s="429">
        <v>0</v>
      </c>
      <c r="D53" s="7">
        <f t="shared" si="3"/>
        <v>0</v>
      </c>
    </row>
    <row r="54" spans="1:4" ht="16.5">
      <c r="A54" s="427"/>
      <c r="B54" s="427"/>
      <c r="C54" s="427"/>
      <c r="D54" s="9"/>
    </row>
    <row r="55" spans="1:4" ht="16.5">
      <c r="A55" s="427"/>
      <c r="B55" s="427"/>
      <c r="C55" s="427"/>
      <c r="D55" s="9"/>
    </row>
    <row r="56" spans="1:4" ht="16.5">
      <c r="A56" s="444" t="s">
        <v>555</v>
      </c>
      <c r="B56" s="444"/>
      <c r="C56" s="5"/>
      <c r="D56" s="9"/>
    </row>
    <row r="57" spans="1:4" ht="27" customHeight="1">
      <c r="A57" s="427">
        <v>5.0999999999999996</v>
      </c>
      <c r="B57" s="428" t="s">
        <v>357</v>
      </c>
      <c r="C57" s="8">
        <v>0.7</v>
      </c>
      <c r="D57" s="7">
        <f t="shared" ref="D57:D64" si="4">+C57*10/100+C57</f>
        <v>0.77</v>
      </c>
    </row>
    <row r="58" spans="1:4" ht="25.5" customHeight="1">
      <c r="A58" s="427">
        <v>5.2</v>
      </c>
      <c r="B58" s="428" t="s">
        <v>358</v>
      </c>
      <c r="C58" s="8">
        <v>1.5</v>
      </c>
      <c r="D58" s="7">
        <f t="shared" si="4"/>
        <v>1.65</v>
      </c>
    </row>
    <row r="59" spans="1:4" ht="24.75" customHeight="1">
      <c r="A59" s="427">
        <v>5.3</v>
      </c>
      <c r="B59" s="428" t="s">
        <v>359</v>
      </c>
      <c r="C59" s="429">
        <v>22</v>
      </c>
      <c r="D59" s="7">
        <f t="shared" si="4"/>
        <v>24.2</v>
      </c>
    </row>
    <row r="60" spans="1:4" ht="23.25" customHeight="1">
      <c r="A60" s="427">
        <v>5.4</v>
      </c>
      <c r="B60" s="428" t="s">
        <v>360</v>
      </c>
      <c r="C60" s="429">
        <v>70</v>
      </c>
      <c r="D60" s="7">
        <f t="shared" si="4"/>
        <v>77</v>
      </c>
    </row>
    <row r="61" spans="1:4" ht="20.25" customHeight="1">
      <c r="A61" s="427">
        <v>5.5</v>
      </c>
      <c r="B61" s="428" t="s">
        <v>361</v>
      </c>
      <c r="C61" s="8">
        <v>1.5</v>
      </c>
      <c r="D61" s="7">
        <f t="shared" si="4"/>
        <v>1.65</v>
      </c>
    </row>
    <row r="62" spans="1:4" ht="30" customHeight="1">
      <c r="A62" s="427">
        <v>5.6</v>
      </c>
      <c r="B62" s="428" t="s">
        <v>362</v>
      </c>
      <c r="C62" s="8">
        <v>0.7</v>
      </c>
      <c r="D62" s="7">
        <f t="shared" si="4"/>
        <v>0.77</v>
      </c>
    </row>
    <row r="63" spans="1:4" ht="24" customHeight="1">
      <c r="A63" s="427">
        <v>5.7</v>
      </c>
      <c r="B63" s="428" t="s">
        <v>455</v>
      </c>
      <c r="C63" s="429">
        <v>300</v>
      </c>
      <c r="D63" s="7">
        <f t="shared" si="4"/>
        <v>330</v>
      </c>
    </row>
    <row r="64" spans="1:4" ht="20.25" customHeight="1">
      <c r="A64" s="427">
        <v>5.8</v>
      </c>
      <c r="B64" s="428" t="s">
        <v>456</v>
      </c>
      <c r="C64" s="429">
        <v>150</v>
      </c>
      <c r="D64" s="7">
        <f t="shared" si="4"/>
        <v>165</v>
      </c>
    </row>
    <row r="65" spans="1:4" ht="16.5">
      <c r="A65" s="442">
        <v>5.9</v>
      </c>
      <c r="B65" s="443" t="s">
        <v>159</v>
      </c>
      <c r="C65" s="427" t="s">
        <v>363</v>
      </c>
      <c r="D65" s="10" t="s">
        <v>363</v>
      </c>
    </row>
    <row r="66" spans="1:4" ht="16.5">
      <c r="A66" s="442"/>
      <c r="B66" s="443"/>
      <c r="C66" s="427" t="s">
        <v>364</v>
      </c>
      <c r="D66" s="10" t="s">
        <v>364</v>
      </c>
    </row>
    <row r="67" spans="1:4" ht="16.5">
      <c r="A67" s="427"/>
      <c r="B67" s="428"/>
      <c r="C67" s="427"/>
      <c r="D67" s="9"/>
    </row>
    <row r="68" spans="1:4" ht="16.5">
      <c r="A68" s="444" t="s">
        <v>556</v>
      </c>
      <c r="B68" s="444"/>
      <c r="C68" s="5"/>
      <c r="D68" s="9"/>
    </row>
    <row r="69" spans="1:4" ht="16.5">
      <c r="A69" s="427">
        <v>6.1</v>
      </c>
      <c r="B69" s="428" t="s">
        <v>365</v>
      </c>
      <c r="C69" s="8">
        <v>42.15</v>
      </c>
      <c r="D69" s="7">
        <f t="shared" ref="D69:D81" si="5">+C69*10/100+C69</f>
        <v>46.364999999999995</v>
      </c>
    </row>
    <row r="70" spans="1:4" ht="23.25" customHeight="1">
      <c r="A70" s="427">
        <v>6.2</v>
      </c>
      <c r="B70" s="428" t="s">
        <v>366</v>
      </c>
      <c r="C70" s="8">
        <v>61.31</v>
      </c>
      <c r="D70" s="7">
        <f t="shared" si="5"/>
        <v>67.441000000000003</v>
      </c>
    </row>
    <row r="71" spans="1:4" ht="27" customHeight="1">
      <c r="A71" s="427">
        <v>6.3</v>
      </c>
      <c r="B71" s="428" t="s">
        <v>457</v>
      </c>
      <c r="C71" s="8">
        <v>120.31</v>
      </c>
      <c r="D71" s="7">
        <f t="shared" si="5"/>
        <v>132.34100000000001</v>
      </c>
    </row>
    <row r="72" spans="1:4" ht="24" customHeight="1">
      <c r="A72" s="427">
        <v>6.4</v>
      </c>
      <c r="B72" s="428" t="s">
        <v>458</v>
      </c>
      <c r="C72" s="8">
        <v>120.31</v>
      </c>
      <c r="D72" s="7">
        <f t="shared" si="5"/>
        <v>132.34100000000001</v>
      </c>
    </row>
    <row r="73" spans="1:4" ht="24.75" customHeight="1">
      <c r="A73" s="427">
        <v>6.5</v>
      </c>
      <c r="B73" s="428" t="s">
        <v>459</v>
      </c>
      <c r="C73" s="8">
        <v>578.69000000000005</v>
      </c>
      <c r="D73" s="7">
        <f t="shared" si="5"/>
        <v>636.55900000000008</v>
      </c>
    </row>
    <row r="74" spans="1:4" ht="27.75" customHeight="1">
      <c r="A74" s="427">
        <v>6.6</v>
      </c>
      <c r="B74" s="428" t="s">
        <v>367</v>
      </c>
      <c r="C74" s="8">
        <v>150.18</v>
      </c>
      <c r="D74" s="7">
        <f t="shared" si="5"/>
        <v>165.19800000000001</v>
      </c>
    </row>
    <row r="75" spans="1:4" ht="16.5">
      <c r="A75" s="427">
        <v>6.7</v>
      </c>
      <c r="B75" s="428" t="s">
        <v>368</v>
      </c>
      <c r="C75" s="8">
        <v>480.54</v>
      </c>
      <c r="D75" s="7">
        <f t="shared" si="5"/>
        <v>528.59400000000005</v>
      </c>
    </row>
    <row r="76" spans="1:4" ht="29.25" customHeight="1">
      <c r="A76" s="427">
        <v>6.8</v>
      </c>
      <c r="B76" s="428" t="s">
        <v>369</v>
      </c>
      <c r="C76" s="8">
        <v>150.18</v>
      </c>
      <c r="D76" s="7">
        <f t="shared" si="5"/>
        <v>165.19800000000001</v>
      </c>
    </row>
    <row r="77" spans="1:4" ht="32.25" customHeight="1">
      <c r="A77" s="427">
        <v>6.9</v>
      </c>
      <c r="B77" s="428" t="s">
        <v>370</v>
      </c>
      <c r="C77" s="8">
        <v>480.54</v>
      </c>
      <c r="D77" s="7">
        <f t="shared" si="5"/>
        <v>528.59400000000005</v>
      </c>
    </row>
    <row r="78" spans="1:4" ht="27.75" customHeight="1">
      <c r="A78" s="427">
        <v>6.1</v>
      </c>
      <c r="B78" s="428" t="s">
        <v>371</v>
      </c>
      <c r="C78" s="8">
        <v>150.18</v>
      </c>
      <c r="D78" s="7">
        <f t="shared" si="5"/>
        <v>165.19800000000001</v>
      </c>
    </row>
    <row r="79" spans="1:4" ht="24.75" customHeight="1">
      <c r="A79" s="427">
        <v>6.11</v>
      </c>
      <c r="B79" s="428" t="s">
        <v>372</v>
      </c>
      <c r="C79" s="8">
        <v>893.21</v>
      </c>
      <c r="D79" s="7">
        <f t="shared" si="5"/>
        <v>982.53100000000006</v>
      </c>
    </row>
    <row r="80" spans="1:4" ht="27.75" customHeight="1">
      <c r="A80" s="427">
        <v>6.12</v>
      </c>
      <c r="B80" s="428" t="s">
        <v>373</v>
      </c>
      <c r="C80" s="427">
        <v>180.29</v>
      </c>
      <c r="D80" s="7">
        <f t="shared" si="5"/>
        <v>198.31899999999999</v>
      </c>
    </row>
    <row r="81" spans="1:4" ht="16.5">
      <c r="A81" s="427">
        <v>6.13</v>
      </c>
      <c r="B81" s="428" t="s">
        <v>374</v>
      </c>
      <c r="C81" s="8">
        <v>30.11</v>
      </c>
      <c r="D81" s="7">
        <f t="shared" si="5"/>
        <v>33.121000000000002</v>
      </c>
    </row>
    <row r="82" spans="1:4" ht="16.5">
      <c r="A82" s="427">
        <v>6.14</v>
      </c>
      <c r="B82" s="428" t="s">
        <v>375</v>
      </c>
      <c r="C82" s="427"/>
      <c r="D82" s="9"/>
    </row>
    <row r="83" spans="1:4" ht="16.5">
      <c r="A83" s="427"/>
      <c r="B83" s="428"/>
      <c r="C83" s="427"/>
      <c r="D83" s="9"/>
    </row>
    <row r="84" spans="1:4" ht="16.5">
      <c r="A84" s="5">
        <v>7</v>
      </c>
      <c r="B84" s="11" t="s">
        <v>376</v>
      </c>
      <c r="C84" s="5"/>
      <c r="D84" s="9"/>
    </row>
    <row r="85" spans="1:4" ht="49.5">
      <c r="A85" s="427">
        <v>7.1</v>
      </c>
      <c r="B85" s="428" t="s">
        <v>460</v>
      </c>
      <c r="C85" s="427" t="s">
        <v>377</v>
      </c>
      <c r="D85" s="12" t="s">
        <v>548</v>
      </c>
    </row>
    <row r="86" spans="1:4" ht="49.5">
      <c r="A86" s="427">
        <v>7.2</v>
      </c>
      <c r="B86" s="428" t="s">
        <v>378</v>
      </c>
      <c r="C86" s="427" t="s">
        <v>377</v>
      </c>
      <c r="D86" s="12" t="s">
        <v>548</v>
      </c>
    </row>
    <row r="87" spans="1:4" ht="33">
      <c r="A87" s="427">
        <v>7.3</v>
      </c>
      <c r="B87" s="428" t="s">
        <v>379</v>
      </c>
      <c r="C87" s="429">
        <v>1000</v>
      </c>
      <c r="D87" s="7">
        <f t="shared" ref="D87:D147" si="6">+C87*10/100+C87</f>
        <v>1100</v>
      </c>
    </row>
    <row r="88" spans="1:4" ht="16.5">
      <c r="A88" s="427">
        <v>7.4</v>
      </c>
      <c r="B88" s="428" t="s">
        <v>380</v>
      </c>
      <c r="C88" s="429">
        <v>1500</v>
      </c>
      <c r="D88" s="7">
        <f t="shared" si="6"/>
        <v>1650</v>
      </c>
    </row>
    <row r="89" spans="1:4" ht="49.5">
      <c r="A89" s="427">
        <v>7.5</v>
      </c>
      <c r="B89" s="428" t="s">
        <v>381</v>
      </c>
      <c r="C89" s="429">
        <v>500</v>
      </c>
      <c r="D89" s="7">
        <f t="shared" si="6"/>
        <v>550</v>
      </c>
    </row>
    <row r="90" spans="1:4" ht="33">
      <c r="A90" s="427">
        <v>7.6</v>
      </c>
      <c r="B90" s="428" t="s">
        <v>382</v>
      </c>
      <c r="C90" s="429">
        <v>1500</v>
      </c>
      <c r="D90" s="7">
        <f t="shared" si="6"/>
        <v>1650</v>
      </c>
    </row>
    <row r="91" spans="1:4" ht="24" customHeight="1">
      <c r="A91" s="427">
        <v>7.7</v>
      </c>
      <c r="B91" s="428" t="s">
        <v>383</v>
      </c>
      <c r="C91" s="429">
        <v>500</v>
      </c>
      <c r="D91" s="7">
        <f t="shared" si="6"/>
        <v>550</v>
      </c>
    </row>
    <row r="92" spans="1:4" ht="33">
      <c r="A92" s="427">
        <v>7.8</v>
      </c>
      <c r="B92" s="428" t="s">
        <v>384</v>
      </c>
      <c r="C92" s="429">
        <v>500</v>
      </c>
      <c r="D92" s="7">
        <f t="shared" si="6"/>
        <v>550</v>
      </c>
    </row>
    <row r="93" spans="1:4" ht="33">
      <c r="A93" s="427">
        <v>7.9</v>
      </c>
      <c r="B93" s="428" t="s">
        <v>385</v>
      </c>
      <c r="C93" s="429">
        <v>500</v>
      </c>
      <c r="D93" s="7">
        <f t="shared" si="6"/>
        <v>550</v>
      </c>
    </row>
    <row r="94" spans="1:4" ht="49.5">
      <c r="A94" s="427">
        <v>7.1</v>
      </c>
      <c r="B94" s="428" t="s">
        <v>386</v>
      </c>
      <c r="C94" s="429">
        <v>500</v>
      </c>
      <c r="D94" s="7">
        <f t="shared" si="6"/>
        <v>550</v>
      </c>
    </row>
    <row r="95" spans="1:4" ht="33">
      <c r="A95" s="427">
        <v>7.11</v>
      </c>
      <c r="B95" s="428" t="s">
        <v>387</v>
      </c>
      <c r="C95" s="429">
        <v>500</v>
      </c>
      <c r="D95" s="7">
        <f t="shared" si="6"/>
        <v>550</v>
      </c>
    </row>
    <row r="96" spans="1:4" ht="33">
      <c r="A96" s="442">
        <v>7.12</v>
      </c>
      <c r="B96" s="428" t="s">
        <v>388</v>
      </c>
      <c r="C96" s="445">
        <v>500</v>
      </c>
      <c r="D96" s="7">
        <f t="shared" si="6"/>
        <v>550</v>
      </c>
    </row>
    <row r="97" spans="1:4" ht="16.5">
      <c r="A97" s="442"/>
      <c r="B97" s="428" t="s">
        <v>389</v>
      </c>
      <c r="C97" s="445"/>
      <c r="D97" s="7">
        <f t="shared" si="6"/>
        <v>0</v>
      </c>
    </row>
    <row r="98" spans="1:4" ht="33">
      <c r="A98" s="427">
        <v>7.13</v>
      </c>
      <c r="B98" s="428" t="s">
        <v>390</v>
      </c>
      <c r="C98" s="429">
        <v>1000</v>
      </c>
      <c r="D98" s="7">
        <f t="shared" si="6"/>
        <v>1100</v>
      </c>
    </row>
    <row r="99" spans="1:4" ht="49.5">
      <c r="A99" s="427">
        <v>7.14</v>
      </c>
      <c r="B99" s="428" t="s">
        <v>391</v>
      </c>
      <c r="C99" s="429">
        <v>500</v>
      </c>
      <c r="D99" s="7">
        <f t="shared" si="6"/>
        <v>550</v>
      </c>
    </row>
    <row r="100" spans="1:4" ht="49.5">
      <c r="A100" s="427">
        <v>7.15</v>
      </c>
      <c r="B100" s="428" t="s">
        <v>392</v>
      </c>
      <c r="C100" s="429">
        <v>1500</v>
      </c>
      <c r="D100" s="7">
        <f t="shared" si="6"/>
        <v>1650</v>
      </c>
    </row>
    <row r="101" spans="1:4" ht="31.5" customHeight="1">
      <c r="A101" s="427">
        <v>7.16</v>
      </c>
      <c r="B101" s="428" t="s">
        <v>393</v>
      </c>
      <c r="C101" s="427" t="s">
        <v>468</v>
      </c>
      <c r="D101" s="12" t="s">
        <v>549</v>
      </c>
    </row>
    <row r="102" spans="1:4" ht="33">
      <c r="A102" s="427">
        <v>7.17</v>
      </c>
      <c r="B102" s="428" t="s">
        <v>394</v>
      </c>
      <c r="C102" s="429">
        <v>1500</v>
      </c>
      <c r="D102" s="7">
        <f t="shared" si="6"/>
        <v>1650</v>
      </c>
    </row>
    <row r="103" spans="1:4" ht="33">
      <c r="A103" s="427">
        <v>7.18</v>
      </c>
      <c r="B103" s="428" t="s">
        <v>395</v>
      </c>
      <c r="C103" s="427">
        <v>500</v>
      </c>
      <c r="D103" s="7">
        <f t="shared" si="6"/>
        <v>550</v>
      </c>
    </row>
    <row r="104" spans="1:4" ht="33">
      <c r="A104" s="427">
        <v>7.19</v>
      </c>
      <c r="B104" s="428" t="s">
        <v>396</v>
      </c>
      <c r="C104" s="429">
        <v>750</v>
      </c>
      <c r="D104" s="7">
        <f t="shared" si="6"/>
        <v>825</v>
      </c>
    </row>
    <row r="105" spans="1:4" ht="25.5" customHeight="1">
      <c r="A105" s="427">
        <v>7.2</v>
      </c>
      <c r="B105" s="428" t="s">
        <v>397</v>
      </c>
      <c r="C105" s="429">
        <v>750</v>
      </c>
      <c r="D105" s="7">
        <f t="shared" si="6"/>
        <v>825</v>
      </c>
    </row>
    <row r="106" spans="1:4" ht="38.25" customHeight="1">
      <c r="A106" s="427">
        <v>7.21</v>
      </c>
      <c r="B106" s="428" t="s">
        <v>398</v>
      </c>
      <c r="C106" s="429">
        <v>1000</v>
      </c>
      <c r="D106" s="7">
        <f t="shared" si="6"/>
        <v>1100</v>
      </c>
    </row>
    <row r="107" spans="1:4" ht="36.75" customHeight="1">
      <c r="A107" s="427">
        <v>7.22</v>
      </c>
      <c r="B107" s="428" t="s">
        <v>399</v>
      </c>
      <c r="C107" s="429">
        <v>1500</v>
      </c>
      <c r="D107" s="7">
        <f t="shared" si="6"/>
        <v>1650</v>
      </c>
    </row>
    <row r="108" spans="1:4" ht="16.5">
      <c r="A108" s="427">
        <v>7.23</v>
      </c>
      <c r="B108" s="428" t="s">
        <v>400</v>
      </c>
      <c r="C108" s="427" t="s">
        <v>401</v>
      </c>
      <c r="D108" s="7" t="s">
        <v>550</v>
      </c>
    </row>
    <row r="109" spans="1:4" ht="33">
      <c r="A109" s="427">
        <v>7.24</v>
      </c>
      <c r="B109" s="428" t="s">
        <v>402</v>
      </c>
      <c r="C109" s="427"/>
      <c r="D109" s="7">
        <f t="shared" si="6"/>
        <v>0</v>
      </c>
    </row>
    <row r="110" spans="1:4" ht="33">
      <c r="A110" s="427">
        <v>7.25</v>
      </c>
      <c r="B110" s="428" t="s">
        <v>403</v>
      </c>
      <c r="C110" s="429">
        <v>500</v>
      </c>
      <c r="D110" s="7">
        <f t="shared" si="6"/>
        <v>550</v>
      </c>
    </row>
    <row r="111" spans="1:4" ht="33">
      <c r="A111" s="427">
        <v>7.26</v>
      </c>
      <c r="B111" s="428" t="s">
        <v>404</v>
      </c>
      <c r="C111" s="429">
        <v>1000</v>
      </c>
      <c r="D111" s="7">
        <f t="shared" si="6"/>
        <v>1100</v>
      </c>
    </row>
    <row r="112" spans="1:4" ht="33">
      <c r="A112" s="427">
        <v>7.27</v>
      </c>
      <c r="B112" s="428" t="s">
        <v>405</v>
      </c>
      <c r="C112" s="429">
        <v>1000</v>
      </c>
      <c r="D112" s="7">
        <f t="shared" si="6"/>
        <v>1100</v>
      </c>
    </row>
    <row r="113" spans="1:4" ht="16.5">
      <c r="A113" s="427">
        <v>7.28</v>
      </c>
      <c r="B113" s="428" t="s">
        <v>406</v>
      </c>
      <c r="C113" s="429">
        <v>300</v>
      </c>
      <c r="D113" s="7">
        <f t="shared" si="6"/>
        <v>330</v>
      </c>
    </row>
    <row r="114" spans="1:4" ht="16.5">
      <c r="A114" s="427">
        <v>7.29</v>
      </c>
      <c r="B114" s="428" t="s">
        <v>407</v>
      </c>
      <c r="C114" s="429">
        <v>300</v>
      </c>
      <c r="D114" s="7">
        <f t="shared" si="6"/>
        <v>330</v>
      </c>
    </row>
    <row r="115" spans="1:4" ht="16.5">
      <c r="A115" s="427">
        <v>7.3</v>
      </c>
      <c r="B115" s="428" t="s">
        <v>408</v>
      </c>
      <c r="C115" s="429">
        <v>0</v>
      </c>
      <c r="D115" s="7">
        <f t="shared" si="6"/>
        <v>0</v>
      </c>
    </row>
    <row r="116" spans="1:4" ht="16.5">
      <c r="A116" s="427">
        <v>7.31</v>
      </c>
      <c r="B116" s="428" t="s">
        <v>409</v>
      </c>
      <c r="C116" s="429">
        <v>300</v>
      </c>
      <c r="D116" s="7">
        <f t="shared" si="6"/>
        <v>330</v>
      </c>
    </row>
    <row r="117" spans="1:4" ht="33">
      <c r="A117" s="427">
        <v>7.32</v>
      </c>
      <c r="B117" s="428" t="s">
        <v>410</v>
      </c>
      <c r="C117" s="429">
        <v>500</v>
      </c>
      <c r="D117" s="7">
        <f t="shared" si="6"/>
        <v>550</v>
      </c>
    </row>
    <row r="118" spans="1:4" ht="16.5">
      <c r="A118" s="427">
        <v>7.33</v>
      </c>
      <c r="B118" s="428" t="s">
        <v>411</v>
      </c>
      <c r="C118" s="429">
        <v>500</v>
      </c>
      <c r="D118" s="7">
        <f t="shared" si="6"/>
        <v>550</v>
      </c>
    </row>
    <row r="119" spans="1:4" ht="39.75" customHeight="1">
      <c r="A119" s="427">
        <v>7.34</v>
      </c>
      <c r="B119" s="428" t="s">
        <v>412</v>
      </c>
      <c r="C119" s="429">
        <v>750</v>
      </c>
      <c r="D119" s="7">
        <f t="shared" si="6"/>
        <v>825</v>
      </c>
    </row>
    <row r="120" spans="1:4" ht="39" customHeight="1">
      <c r="A120" s="427">
        <v>7.35</v>
      </c>
      <c r="B120" s="428" t="s">
        <v>413</v>
      </c>
      <c r="C120" s="429">
        <v>500</v>
      </c>
      <c r="D120" s="7">
        <f t="shared" si="6"/>
        <v>550</v>
      </c>
    </row>
    <row r="121" spans="1:4" ht="36.75" customHeight="1">
      <c r="A121" s="427">
        <v>7.36</v>
      </c>
      <c r="B121" s="428" t="s">
        <v>414</v>
      </c>
      <c r="C121" s="429">
        <v>500</v>
      </c>
      <c r="D121" s="7">
        <f t="shared" si="6"/>
        <v>550</v>
      </c>
    </row>
    <row r="122" spans="1:4" ht="298.5" customHeight="1">
      <c r="A122" s="442">
        <v>7.37</v>
      </c>
      <c r="B122" s="443" t="s">
        <v>415</v>
      </c>
      <c r="C122" s="427"/>
      <c r="D122" s="7">
        <f t="shared" si="6"/>
        <v>0</v>
      </c>
    </row>
    <row r="123" spans="1:4" ht="16.5">
      <c r="A123" s="442"/>
      <c r="B123" s="443"/>
      <c r="C123" s="429">
        <v>500</v>
      </c>
      <c r="D123" s="7">
        <f t="shared" si="6"/>
        <v>550</v>
      </c>
    </row>
    <row r="124" spans="1:4" ht="34.5" customHeight="1">
      <c r="A124" s="427">
        <v>7.38</v>
      </c>
      <c r="B124" s="428" t="s">
        <v>416</v>
      </c>
      <c r="C124" s="429">
        <v>500</v>
      </c>
      <c r="D124" s="7">
        <f t="shared" si="6"/>
        <v>550</v>
      </c>
    </row>
    <row r="125" spans="1:4" ht="33">
      <c r="A125" s="5">
        <v>7.39</v>
      </c>
      <c r="B125" s="11" t="s">
        <v>417</v>
      </c>
      <c r="C125" s="13">
        <v>1500</v>
      </c>
      <c r="D125" s="7">
        <f t="shared" si="6"/>
        <v>1650</v>
      </c>
    </row>
    <row r="126" spans="1:4" ht="16.5">
      <c r="A126" s="427">
        <v>7.4</v>
      </c>
      <c r="B126" s="428" t="s">
        <v>418</v>
      </c>
      <c r="C126" s="429">
        <v>500</v>
      </c>
      <c r="D126" s="7">
        <f t="shared" si="6"/>
        <v>550</v>
      </c>
    </row>
    <row r="127" spans="1:4" ht="16.5">
      <c r="A127" s="427">
        <v>7.41</v>
      </c>
      <c r="B127" s="428" t="s">
        <v>419</v>
      </c>
      <c r="C127" s="429">
        <v>1500</v>
      </c>
      <c r="D127" s="7">
        <f t="shared" si="6"/>
        <v>1650</v>
      </c>
    </row>
    <row r="128" spans="1:4" ht="16.5">
      <c r="A128" s="427">
        <v>7.42</v>
      </c>
      <c r="B128" s="428" t="s">
        <v>420</v>
      </c>
      <c r="C128" s="429">
        <v>1500</v>
      </c>
      <c r="D128" s="7">
        <f t="shared" si="6"/>
        <v>1650</v>
      </c>
    </row>
    <row r="129" spans="1:4" ht="16.5">
      <c r="A129" s="427">
        <v>7.43</v>
      </c>
      <c r="B129" s="428" t="s">
        <v>421</v>
      </c>
      <c r="C129" s="429">
        <v>1500</v>
      </c>
      <c r="D129" s="7">
        <f t="shared" si="6"/>
        <v>1650</v>
      </c>
    </row>
    <row r="130" spans="1:4" ht="37.5" customHeight="1">
      <c r="A130" s="427">
        <v>7.44</v>
      </c>
      <c r="B130" s="428" t="s">
        <v>422</v>
      </c>
      <c r="C130" s="429">
        <v>500</v>
      </c>
      <c r="D130" s="7">
        <f t="shared" si="6"/>
        <v>550</v>
      </c>
    </row>
    <row r="131" spans="1:4" ht="34.5" customHeight="1">
      <c r="A131" s="427">
        <v>7.45</v>
      </c>
      <c r="B131" s="428" t="s">
        <v>423</v>
      </c>
      <c r="C131" s="429">
        <v>500</v>
      </c>
      <c r="D131" s="7">
        <f t="shared" si="6"/>
        <v>550</v>
      </c>
    </row>
    <row r="132" spans="1:4" ht="51.75" customHeight="1">
      <c r="A132" s="442">
        <v>7.46</v>
      </c>
      <c r="B132" s="443" t="s">
        <v>424</v>
      </c>
      <c r="C132" s="429">
        <v>1000</v>
      </c>
      <c r="D132" s="7">
        <f t="shared" si="6"/>
        <v>1100</v>
      </c>
    </row>
    <row r="133" spans="1:4" ht="16.5" hidden="1">
      <c r="A133" s="442"/>
      <c r="B133" s="443"/>
      <c r="C133" s="427"/>
      <c r="D133" s="7">
        <f t="shared" si="6"/>
        <v>0</v>
      </c>
    </row>
    <row r="134" spans="1:4" ht="16.5">
      <c r="A134" s="427">
        <v>7.47</v>
      </c>
      <c r="B134" s="428" t="s">
        <v>425</v>
      </c>
      <c r="C134" s="429">
        <v>500</v>
      </c>
      <c r="D134" s="7">
        <f t="shared" si="6"/>
        <v>550</v>
      </c>
    </row>
    <row r="135" spans="1:4" ht="29.25" customHeight="1">
      <c r="A135" s="427">
        <v>7.48</v>
      </c>
      <c r="B135" s="428" t="s">
        <v>426</v>
      </c>
      <c r="C135" s="429">
        <v>500</v>
      </c>
      <c r="D135" s="7">
        <f t="shared" si="6"/>
        <v>550</v>
      </c>
    </row>
    <row r="136" spans="1:4" ht="36.75" customHeight="1">
      <c r="A136" s="427">
        <v>7.49</v>
      </c>
      <c r="B136" s="428" t="s">
        <v>427</v>
      </c>
      <c r="C136" s="429">
        <v>500</v>
      </c>
      <c r="D136" s="7">
        <f t="shared" si="6"/>
        <v>550</v>
      </c>
    </row>
    <row r="137" spans="1:4" ht="16.5">
      <c r="A137" s="14"/>
      <c r="B137" s="15" t="s">
        <v>428</v>
      </c>
      <c r="C137" s="14"/>
      <c r="D137" s="7">
        <f t="shared" si="6"/>
        <v>0</v>
      </c>
    </row>
    <row r="138" spans="1:4" ht="16.5">
      <c r="A138" s="427">
        <v>7.5</v>
      </c>
      <c r="B138" s="428" t="s">
        <v>429</v>
      </c>
      <c r="C138" s="429">
        <v>1000</v>
      </c>
      <c r="D138" s="7">
        <f t="shared" si="6"/>
        <v>1100</v>
      </c>
    </row>
    <row r="139" spans="1:4" ht="16.5">
      <c r="A139" s="427">
        <v>7.51</v>
      </c>
      <c r="B139" s="428" t="s">
        <v>425</v>
      </c>
      <c r="C139" s="429">
        <v>500</v>
      </c>
      <c r="D139" s="7">
        <f t="shared" si="6"/>
        <v>550</v>
      </c>
    </row>
    <row r="140" spans="1:4" ht="36" customHeight="1">
      <c r="A140" s="427">
        <v>7.52</v>
      </c>
      <c r="B140" s="428" t="s">
        <v>430</v>
      </c>
      <c r="C140" s="429">
        <v>500</v>
      </c>
      <c r="D140" s="7">
        <f t="shared" si="6"/>
        <v>550</v>
      </c>
    </row>
    <row r="141" spans="1:4" ht="16.5">
      <c r="A141" s="427">
        <v>7.53</v>
      </c>
      <c r="B141" s="428" t="s">
        <v>429</v>
      </c>
      <c r="C141" s="429">
        <v>1000</v>
      </c>
      <c r="D141" s="7">
        <f t="shared" si="6"/>
        <v>1100</v>
      </c>
    </row>
    <row r="142" spans="1:4" ht="38.25" customHeight="1">
      <c r="A142" s="442">
        <v>7.54</v>
      </c>
      <c r="B142" s="443" t="s">
        <v>431</v>
      </c>
      <c r="C142" s="427"/>
      <c r="D142" s="7">
        <f t="shared" si="6"/>
        <v>0</v>
      </c>
    </row>
    <row r="143" spans="1:4" ht="16.5" hidden="1">
      <c r="A143" s="442"/>
      <c r="B143" s="443"/>
      <c r="C143" s="429">
        <v>1000</v>
      </c>
      <c r="D143" s="9"/>
    </row>
    <row r="144" spans="1:4" ht="33">
      <c r="A144" s="427">
        <v>7.55</v>
      </c>
      <c r="B144" s="428" t="s">
        <v>432</v>
      </c>
      <c r="C144" s="429">
        <v>1000</v>
      </c>
      <c r="D144" s="7">
        <f t="shared" si="6"/>
        <v>1100</v>
      </c>
    </row>
    <row r="145" spans="1:4" ht="33">
      <c r="A145" s="427">
        <v>7.56</v>
      </c>
      <c r="B145" s="428" t="s">
        <v>433</v>
      </c>
      <c r="C145" s="429">
        <v>500</v>
      </c>
      <c r="D145" s="7">
        <f t="shared" si="6"/>
        <v>550</v>
      </c>
    </row>
    <row r="146" spans="1:4" ht="16.5">
      <c r="A146" s="427">
        <v>7.57</v>
      </c>
      <c r="B146" s="428" t="s">
        <v>434</v>
      </c>
      <c r="C146" s="429">
        <v>1000</v>
      </c>
      <c r="D146" s="7">
        <f t="shared" si="6"/>
        <v>1100</v>
      </c>
    </row>
    <row r="147" spans="1:4" ht="33">
      <c r="A147" s="427">
        <v>7.58</v>
      </c>
      <c r="B147" s="428" t="s">
        <v>435</v>
      </c>
      <c r="C147" s="429">
        <v>1000</v>
      </c>
      <c r="D147" s="7">
        <f t="shared" si="6"/>
        <v>1100</v>
      </c>
    </row>
    <row r="148" spans="1:4" ht="16.5">
      <c r="A148" s="427"/>
      <c r="B148" s="428"/>
      <c r="C148" s="427"/>
      <c r="D148" s="9"/>
    </row>
    <row r="149" spans="1:4" ht="16.5">
      <c r="A149" s="5">
        <v>8</v>
      </c>
      <c r="B149" s="11" t="s">
        <v>313</v>
      </c>
      <c r="C149" s="427"/>
      <c r="D149" s="9"/>
    </row>
    <row r="150" spans="1:4" ht="16.5">
      <c r="A150" s="427">
        <v>8.1</v>
      </c>
      <c r="B150" s="428" t="s">
        <v>461</v>
      </c>
      <c r="C150" s="8">
        <v>86.76</v>
      </c>
      <c r="D150" s="7">
        <f t="shared" ref="D150:D164" si="7">+C150*19/100+C150</f>
        <v>103.24440000000001</v>
      </c>
    </row>
    <row r="151" spans="1:4" ht="16.5">
      <c r="A151" s="427">
        <v>8.1999999999999993</v>
      </c>
      <c r="B151" s="428" t="s">
        <v>436</v>
      </c>
      <c r="C151" s="8">
        <v>0.51</v>
      </c>
      <c r="D151" s="7">
        <f t="shared" si="7"/>
        <v>0.6069</v>
      </c>
    </row>
    <row r="152" spans="1:4" ht="16.5">
      <c r="A152" s="427">
        <v>8.3000000000000007</v>
      </c>
      <c r="B152" s="428" t="s">
        <v>462</v>
      </c>
      <c r="C152" s="8">
        <v>86.76</v>
      </c>
      <c r="D152" s="7">
        <f t="shared" si="7"/>
        <v>103.24440000000001</v>
      </c>
    </row>
    <row r="153" spans="1:4" ht="16.5">
      <c r="A153" s="427">
        <v>8.4</v>
      </c>
      <c r="B153" s="428" t="s">
        <v>437</v>
      </c>
      <c r="C153" s="8">
        <v>0.51</v>
      </c>
      <c r="D153" s="7">
        <f t="shared" si="7"/>
        <v>0.6069</v>
      </c>
    </row>
    <row r="154" spans="1:4" ht="16.5">
      <c r="A154" s="427">
        <v>8.5</v>
      </c>
      <c r="B154" s="428" t="s">
        <v>463</v>
      </c>
      <c r="C154" s="8">
        <v>334.96</v>
      </c>
      <c r="D154" s="7">
        <f t="shared" si="7"/>
        <v>398.60239999999999</v>
      </c>
    </row>
    <row r="155" spans="1:4" ht="16.5">
      <c r="A155" s="427">
        <v>8.6</v>
      </c>
      <c r="B155" s="428" t="s">
        <v>438</v>
      </c>
      <c r="C155" s="8">
        <v>0.51</v>
      </c>
      <c r="D155" s="7">
        <f t="shared" si="7"/>
        <v>0.6069</v>
      </c>
    </row>
    <row r="156" spans="1:4" ht="16.5">
      <c r="A156" s="427">
        <v>8.6999999999999993</v>
      </c>
      <c r="B156" s="428" t="s">
        <v>464</v>
      </c>
      <c r="C156" s="8">
        <v>404.03</v>
      </c>
      <c r="D156" s="7">
        <f t="shared" si="7"/>
        <v>480.79569999999995</v>
      </c>
    </row>
    <row r="157" spans="1:4" ht="16.5">
      <c r="A157" s="427">
        <v>8.8000000000000007</v>
      </c>
      <c r="B157" s="428" t="s">
        <v>439</v>
      </c>
      <c r="C157" s="8">
        <v>0.66</v>
      </c>
      <c r="D157" s="7">
        <f t="shared" si="7"/>
        <v>0.7854000000000001</v>
      </c>
    </row>
    <row r="158" spans="1:4" ht="16.5">
      <c r="A158" s="427">
        <v>8.9</v>
      </c>
      <c r="B158" s="428" t="s">
        <v>465</v>
      </c>
      <c r="C158" s="8">
        <v>1009.93</v>
      </c>
      <c r="D158" s="7">
        <f t="shared" si="7"/>
        <v>1201.8166999999999</v>
      </c>
    </row>
    <row r="159" spans="1:4" ht="16.5">
      <c r="A159" s="427">
        <v>8.1</v>
      </c>
      <c r="B159" s="428" t="s">
        <v>440</v>
      </c>
      <c r="C159" s="8">
        <v>0.66</v>
      </c>
      <c r="D159" s="7">
        <f t="shared" si="7"/>
        <v>0.7854000000000001</v>
      </c>
    </row>
    <row r="160" spans="1:4" ht="16.5">
      <c r="A160" s="427">
        <v>8.11</v>
      </c>
      <c r="B160" s="428" t="s">
        <v>466</v>
      </c>
      <c r="C160" s="8">
        <v>2020.01</v>
      </c>
      <c r="D160" s="7">
        <f t="shared" si="7"/>
        <v>2403.8119000000002</v>
      </c>
    </row>
    <row r="161" spans="1:4" ht="16.5">
      <c r="A161" s="427">
        <v>8.1199999999999992</v>
      </c>
      <c r="B161" s="428" t="s">
        <v>441</v>
      </c>
      <c r="C161" s="8">
        <v>0.61</v>
      </c>
      <c r="D161" s="7">
        <f t="shared" si="7"/>
        <v>0.72589999999999999</v>
      </c>
    </row>
    <row r="162" spans="1:4" ht="16.5">
      <c r="A162" s="427">
        <v>8.1300000000000008</v>
      </c>
      <c r="B162" s="428" t="s">
        <v>466</v>
      </c>
      <c r="C162" s="8">
        <v>4040.17</v>
      </c>
      <c r="D162" s="7">
        <f t="shared" si="7"/>
        <v>4807.8023000000003</v>
      </c>
    </row>
    <row r="163" spans="1:4" ht="16.5">
      <c r="A163" s="427">
        <v>8.14</v>
      </c>
      <c r="B163" s="428" t="s">
        <v>441</v>
      </c>
      <c r="C163" s="8">
        <v>0.57999999999999996</v>
      </c>
      <c r="D163" s="7">
        <f t="shared" si="7"/>
        <v>0.69019999999999992</v>
      </c>
    </row>
    <row r="164" spans="1:4" ht="16.5">
      <c r="A164" s="427">
        <v>8.15</v>
      </c>
      <c r="B164" s="428" t="s">
        <v>442</v>
      </c>
      <c r="C164" s="8">
        <v>0.56999999999999995</v>
      </c>
      <c r="D164" s="7">
        <f t="shared" si="7"/>
        <v>0.6782999999999999</v>
      </c>
    </row>
    <row r="165" spans="1:4" ht="16.5">
      <c r="A165" s="428"/>
      <c r="B165" s="428"/>
      <c r="C165" s="427"/>
      <c r="D165" s="9"/>
    </row>
    <row r="166" spans="1:4" ht="16.5">
      <c r="A166" s="5">
        <v>9</v>
      </c>
      <c r="B166" s="11" t="s">
        <v>443</v>
      </c>
      <c r="C166" s="427"/>
      <c r="D166" s="9"/>
    </row>
    <row r="167" spans="1:4" ht="16.5">
      <c r="A167" s="427">
        <v>9.1</v>
      </c>
      <c r="B167" s="428" t="s">
        <v>444</v>
      </c>
      <c r="C167" s="427">
        <v>0.01</v>
      </c>
      <c r="D167" s="10">
        <f>+C167*5/100+C167</f>
        <v>1.0500000000000001E-2</v>
      </c>
    </row>
    <row r="168" spans="1:4" ht="16.5">
      <c r="A168" s="427">
        <v>9.1999999999999993</v>
      </c>
      <c r="B168" s="428" t="s">
        <v>445</v>
      </c>
      <c r="C168" s="427">
        <v>1.4999999999999999E-2</v>
      </c>
      <c r="D168" s="10">
        <f t="shared" ref="D168:D172" si="8">+C168*5/100+C168</f>
        <v>1.575E-2</v>
      </c>
    </row>
    <row r="169" spans="1:4" ht="16.5">
      <c r="A169" s="427">
        <v>9.3000000000000007</v>
      </c>
      <c r="B169" s="428" t="s">
        <v>446</v>
      </c>
      <c r="C169" s="427">
        <v>2.2000000000000001E-3</v>
      </c>
      <c r="D169" s="10">
        <f t="shared" si="8"/>
        <v>2.31E-3</v>
      </c>
    </row>
    <row r="170" spans="1:4" ht="16.5">
      <c r="A170" s="427">
        <v>9.4</v>
      </c>
      <c r="B170" s="428" t="s">
        <v>467</v>
      </c>
      <c r="C170" s="427">
        <v>2.5000000000000001E-3</v>
      </c>
      <c r="D170" s="10">
        <f t="shared" si="8"/>
        <v>2.6250000000000002E-3</v>
      </c>
    </row>
    <row r="171" spans="1:4" ht="16.5">
      <c r="A171" s="427">
        <v>9.4</v>
      </c>
      <c r="B171" s="428" t="s">
        <v>447</v>
      </c>
      <c r="C171" s="427">
        <v>1.2E-2</v>
      </c>
      <c r="D171" s="10">
        <f t="shared" si="8"/>
        <v>1.26E-2</v>
      </c>
    </row>
    <row r="172" spans="1:4" ht="16.5">
      <c r="A172" s="427">
        <v>9.5</v>
      </c>
      <c r="B172" s="428" t="s">
        <v>448</v>
      </c>
      <c r="C172" s="427">
        <v>0.01</v>
      </c>
      <c r="D172" s="10">
        <f t="shared" si="8"/>
        <v>1.0500000000000001E-2</v>
      </c>
    </row>
  </sheetData>
  <mergeCells count="20">
    <mergeCell ref="A46:B46"/>
    <mergeCell ref="A23:A24"/>
    <mergeCell ref="B23:B24"/>
    <mergeCell ref="A25:B25"/>
    <mergeCell ref="A35:B35"/>
    <mergeCell ref="A40:B40"/>
    <mergeCell ref="C96:C97"/>
    <mergeCell ref="A122:A123"/>
    <mergeCell ref="B122:B123"/>
    <mergeCell ref="A50:A51"/>
    <mergeCell ref="C50:C51"/>
    <mergeCell ref="A56:B56"/>
    <mergeCell ref="A65:A66"/>
    <mergeCell ref="B65:B66"/>
    <mergeCell ref="A132:A133"/>
    <mergeCell ref="B132:B133"/>
    <mergeCell ref="A142:A143"/>
    <mergeCell ref="B142:B143"/>
    <mergeCell ref="A68:B68"/>
    <mergeCell ref="A96:A9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COVER</vt:lpstr>
      <vt:lpstr>OPEX</vt:lpstr>
      <vt:lpstr>Draft 2010-2011 Budget</vt:lpstr>
      <vt:lpstr>CAPEX - TECH</vt:lpstr>
      <vt:lpstr>CAPEX</vt:lpstr>
      <vt:lpstr>TARIF CHARGES</vt:lpstr>
      <vt:lpstr>'TARIF CHARGES'!OLE_LINK1</vt:lpstr>
      <vt:lpstr>CAPEX!Print_Area</vt:lpstr>
      <vt:lpstr>'CAPEX - TECH'!Print_Area</vt:lpstr>
      <vt:lpstr>OPEX!Print_Area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Mthembu</dc:creator>
  <cp:lastModifiedBy>sivuyile</cp:lastModifiedBy>
  <cp:lastPrinted>2010-06-25T12:38:18Z</cp:lastPrinted>
  <dcterms:created xsi:type="dcterms:W3CDTF">2009-03-03T11:40:26Z</dcterms:created>
  <dcterms:modified xsi:type="dcterms:W3CDTF">2010-07-01T09:38:14Z</dcterms:modified>
</cp:coreProperties>
</file>